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2120" windowHeight="4395" tabRatio="601" activeTab="0"/>
  </bookViews>
  <sheets>
    <sheet name="Ajánlás" sheetId="1" r:id="rId1"/>
    <sheet name="Adatlap" sheetId="2" r:id="rId2"/>
    <sheet name="Telefon" sheetId="3" r:id="rId3"/>
    <sheet name="Bérfeladás" sheetId="4" r:id="rId4"/>
    <sheet name="Bérfeladás2" sheetId="5" r:id="rId5"/>
    <sheet name="Utalások" sheetId="6" r:id="rId6"/>
    <sheet name="Adótáblák" sheetId="7" r:id="rId7"/>
    <sheet name="Adótáblák2" sheetId="8" r:id="rId8"/>
    <sheet name="ÁFA" sheetId="9" r:id="rId9"/>
    <sheet name="Összesített adótáblák" sheetId="10" r:id="rId10"/>
    <sheet name="Feltöltés" sheetId="11" r:id="rId11"/>
    <sheet name="Feltöltéstény" sheetId="12" r:id="rId12"/>
    <sheet name="T.Adómegáll." sheetId="13" r:id="rId13"/>
    <sheet name="IP.Adómegáll" sheetId="14" r:id="rId14"/>
    <sheet name="Adófolyó" sheetId="15" r:id="rId15"/>
  </sheets>
  <definedNames>
    <definedName name="magán" localSheetId="9">'Összesített adótáblák'!#REF!</definedName>
    <definedName name="magán">'Adótáblák'!$A$128:$K$139</definedName>
    <definedName name="magán1">'Adótáblák'!$A$128:$M$139</definedName>
    <definedName name="_xlnm.Print_Titles" localSheetId="6">'Adótáblák'!$1:$2</definedName>
    <definedName name="_xlnm.Print_Titles" localSheetId="9">'Összesített adótáblák'!$1:$2</definedName>
  </definedNames>
  <calcPr fullCalcOnLoad="1"/>
</workbook>
</file>

<file path=xl/sharedStrings.xml><?xml version="1.0" encoding="utf-8"?>
<sst xmlns="http://schemas.openxmlformats.org/spreadsheetml/2006/main" count="1002" uniqueCount="448">
  <si>
    <t>Január</t>
  </si>
  <si>
    <t>Február</t>
  </si>
  <si>
    <t>Március</t>
  </si>
  <si>
    <t>Április</t>
  </si>
  <si>
    <t>Május</t>
  </si>
  <si>
    <t>Július</t>
  </si>
  <si>
    <t>Szeptember</t>
  </si>
  <si>
    <t>Október</t>
  </si>
  <si>
    <t>November</t>
  </si>
  <si>
    <t>December</t>
  </si>
  <si>
    <t>Rehabilitációs hozzájárulás</t>
  </si>
  <si>
    <t>Munkaadói járulék</t>
  </si>
  <si>
    <t>Munkavállalói járulék</t>
  </si>
  <si>
    <t>Nemzeti kulturális járulék</t>
  </si>
  <si>
    <t>Szakképzési hozzájárulás</t>
  </si>
  <si>
    <t>ÉV</t>
  </si>
  <si>
    <t>BEVALLÁS</t>
  </si>
  <si>
    <t>BEFIZETÉS</t>
  </si>
  <si>
    <t>EGYENLEG</t>
  </si>
  <si>
    <t>Társasági adó</t>
  </si>
  <si>
    <t>SZJA</t>
  </si>
  <si>
    <t>ÁFA</t>
  </si>
  <si>
    <t>ÖSSZESEN:</t>
  </si>
  <si>
    <t>Késedelmi pótlék</t>
  </si>
  <si>
    <t>Önellenőrzési pótlék</t>
  </si>
  <si>
    <t>Hónap</t>
  </si>
  <si>
    <t>Visszaigé-nyelhető</t>
  </si>
  <si>
    <t>Egyenleg</t>
  </si>
  <si>
    <t>Bevallás</t>
  </si>
  <si>
    <t>Befizetés</t>
  </si>
  <si>
    <t>Önelle-nőrzés</t>
  </si>
  <si>
    <t>Dátum</t>
  </si>
  <si>
    <t>Június</t>
  </si>
  <si>
    <t>Augusztus</t>
  </si>
  <si>
    <t>Összesen</t>
  </si>
  <si>
    <t>Áthozat előző évről</t>
  </si>
  <si>
    <t>Következő évre átvitel</t>
  </si>
  <si>
    <t>466 Egyenlege</t>
  </si>
  <si>
    <t>467 Egyenlege</t>
  </si>
  <si>
    <t>468 Egyenlege</t>
  </si>
  <si>
    <t>Halmozott egyenleg</t>
  </si>
  <si>
    <t>Önell.</t>
  </si>
  <si>
    <t>bevallás</t>
  </si>
  <si>
    <t>Nyitás</t>
  </si>
  <si>
    <t>Munkav.</t>
  </si>
  <si>
    <t>Össz.</t>
  </si>
  <si>
    <t>Határidő</t>
  </si>
  <si>
    <t>Kivetés</t>
  </si>
  <si>
    <t>Nyitó</t>
  </si>
  <si>
    <t>Alap</t>
  </si>
  <si>
    <t>Iskola</t>
  </si>
  <si>
    <t>APEH</t>
  </si>
  <si>
    <t>Iparűzési adó</t>
  </si>
  <si>
    <t>Magánnyugdíjpénztár</t>
  </si>
  <si>
    <t>144. Munkaadói járulék</t>
  </si>
  <si>
    <t>145. Munkavállalói járulék</t>
  </si>
  <si>
    <t>182. Szakképzési hozzájárulás</t>
  </si>
  <si>
    <t>Bevallás összesen</t>
  </si>
  <si>
    <t>Befize-tendő</t>
  </si>
  <si>
    <t>Eredménykimutatás</t>
  </si>
  <si>
    <t>decemberi becslés</t>
  </si>
  <si>
    <t>Értékesítés nettó árbevétele</t>
  </si>
  <si>
    <t>Egyéb bevételek</t>
  </si>
  <si>
    <t>Aktivált saját teljesítmények értéke</t>
  </si>
  <si>
    <t>Anyagjellegű ráfordítások</t>
  </si>
  <si>
    <t>Személyi jellegű ráfordítások</t>
  </si>
  <si>
    <t>Értékcsökkenési leírás</t>
  </si>
  <si>
    <t>Egyéb ráfordítások</t>
  </si>
  <si>
    <t>Üzleti tev. eredménye</t>
  </si>
  <si>
    <t>Szokásos vállalkozási eredm.</t>
  </si>
  <si>
    <t>Rendkívüli bevétel</t>
  </si>
  <si>
    <t>Rendkívüli eredmény</t>
  </si>
  <si>
    <t>Adózás előtti eredmény</t>
  </si>
  <si>
    <t>Növelő tényezők</t>
  </si>
  <si>
    <t>Minimum a IV. negyedévi előleg</t>
  </si>
  <si>
    <t>E.</t>
  </si>
  <si>
    <t>Csökkentő jogcímek</t>
  </si>
  <si>
    <t>Előző évek vesztesége</t>
  </si>
  <si>
    <t>Értékcsökkenés</t>
  </si>
  <si>
    <t>Egyéb</t>
  </si>
  <si>
    <t>Növelő jogcímek</t>
  </si>
  <si>
    <t>Bírság</t>
  </si>
  <si>
    <t>ADÓ ALAP</t>
  </si>
  <si>
    <t>TÁRSASÁGI ADÓ</t>
  </si>
  <si>
    <t>Adó számítás</t>
  </si>
  <si>
    <t>Nettó árbevétel</t>
  </si>
  <si>
    <t>Költségek</t>
  </si>
  <si>
    <t>Iparűzési adóalap</t>
  </si>
  <si>
    <t>Megnevezés</t>
  </si>
  <si>
    <t>101.Társasági adó</t>
  </si>
  <si>
    <t>103. SZJA</t>
  </si>
  <si>
    <t>104. ÁFA</t>
  </si>
  <si>
    <t>152. EHO (tételes+százalékos)</t>
  </si>
  <si>
    <t>172. Nemzeti kulturális járulék</t>
  </si>
  <si>
    <t>EHO</t>
  </si>
  <si>
    <t>ADÓTÁBLÁZATOK</t>
  </si>
  <si>
    <t>ADATLAP</t>
  </si>
  <si>
    <t>Adószám:</t>
  </si>
  <si>
    <t>TB azonosító:</t>
  </si>
  <si>
    <t>Kapcsolattartó cégnél:</t>
  </si>
  <si>
    <t>Bankszámlaszám:</t>
  </si>
  <si>
    <t>Faxszám:</t>
  </si>
  <si>
    <t>Telefonszám:</t>
  </si>
  <si>
    <t>APEH ADÓFOLYÓSZÁMLA</t>
  </si>
  <si>
    <t>(Ft)</t>
  </si>
  <si>
    <t xml:space="preserve">Bevallás </t>
  </si>
  <si>
    <t>összesen</t>
  </si>
  <si>
    <t>(ezer Ft)</t>
  </si>
  <si>
    <t>Pü. műveletek ráfordítása</t>
  </si>
  <si>
    <t>Rendkívüli ráfordítás</t>
  </si>
  <si>
    <t>Iroda :</t>
  </si>
  <si>
    <t>1139 Budapest, Frangepán u. 16.</t>
  </si>
  <si>
    <t>Iparűzési Adó folyószlasz.:</t>
  </si>
  <si>
    <t>Székhely:</t>
  </si>
  <si>
    <t>Levelezési cím:</t>
  </si>
  <si>
    <t>Cégnév</t>
  </si>
  <si>
    <t xml:space="preserve">Címzett :  </t>
  </si>
  <si>
    <t>U T A L Á S O K</t>
  </si>
  <si>
    <t>Számlaszám</t>
  </si>
  <si>
    <t>Összeg</t>
  </si>
  <si>
    <t>Megjegyzés</t>
  </si>
  <si>
    <t>APEH Egészségügyi hozzájárulás beszedési számla</t>
  </si>
  <si>
    <t>APEH személyi jövedelemadó bevételi számla</t>
  </si>
  <si>
    <t>Dátum:</t>
  </si>
  <si>
    <t>Feladó :</t>
  </si>
  <si>
    <t>CÉGNÉV:</t>
  </si>
  <si>
    <t>Tel:</t>
  </si>
  <si>
    <t>Fax:</t>
  </si>
  <si>
    <t>10032000-06056212</t>
  </si>
  <si>
    <t>10032000-06056353</t>
  </si>
  <si>
    <t>10032000-06056009</t>
  </si>
  <si>
    <t>10032000-06056016</t>
  </si>
  <si>
    <t>……………………………</t>
  </si>
  <si>
    <t>Tel./Fax: 239-0712, 239-0871</t>
  </si>
  <si>
    <t>124. Egészségbizt. Alap</t>
  </si>
  <si>
    <t>125. Nyugdíjbizt. Alap</t>
  </si>
  <si>
    <t>Egészségbiztosítási alap</t>
  </si>
  <si>
    <t>Nyugdíjbiztosítási alap</t>
  </si>
  <si>
    <t>Összesen:</t>
  </si>
  <si>
    <t>Iparűzési adó fizetési köt.           ( 2 % )</t>
  </si>
  <si>
    <t>Adószám</t>
  </si>
  <si>
    <t>APEH Nyugdíjbiztosítási alap</t>
  </si>
  <si>
    <t>10032000-06056236</t>
  </si>
  <si>
    <t>125. Nyugdíjbiztosítási Alap ( 10032000 - 06056236 )</t>
  </si>
  <si>
    <t>103. SZJA elszámolása ( 10032000 - 06056353 )</t>
  </si>
  <si>
    <t>152-153. Egészségügyi hozzájárulás ( EHO ) ( 10032000 - 06056212 )</t>
  </si>
  <si>
    <t>101. TÁNYA ( 10032000 - 01076019 )</t>
  </si>
  <si>
    <t>182. Szakképzési hozzájárulás ( 10032000 - 06056061 )</t>
  </si>
  <si>
    <t>( 10032000 - 01076868 )</t>
  </si>
  <si>
    <t>1139 Budapest, Frangepán u 16.</t>
  </si>
  <si>
    <t>APEH Társasági adó beszedési számla</t>
  </si>
  <si>
    <t>10032000-01076019</t>
  </si>
  <si>
    <t>Vonatkozási idő:</t>
  </si>
  <si>
    <t>Saját bankszámlaszám:</t>
  </si>
  <si>
    <t>Fővárosi Önkormányzat Helyi Iparűzési adó</t>
  </si>
  <si>
    <t>11784009-15490012-03540000</t>
  </si>
  <si>
    <t>Email cím:</t>
  </si>
  <si>
    <t>Cégjegyzékszám:</t>
  </si>
  <si>
    <t>KSH szám</t>
  </si>
  <si>
    <t>Kamarai azonosító</t>
  </si>
  <si>
    <t>Tagi SZJA</t>
  </si>
  <si>
    <t xml:space="preserve">                Helyi Iparűzési Adó (11784009-15490012-03540000)</t>
  </si>
  <si>
    <t xml:space="preserve">   ebből anyagköltség (811)</t>
  </si>
  <si>
    <t xml:space="preserve">   ebből igényve vett szolgáltatás (812)</t>
  </si>
  <si>
    <t xml:space="preserve">   ebből egyéb szolgáltatás (813)</t>
  </si>
  <si>
    <t xml:space="preserve">   ebből eladott áruk beszerzési értéke (814)</t>
  </si>
  <si>
    <t xml:space="preserve">   ebből eladott (közvetített) szolgáltatások (815)</t>
  </si>
  <si>
    <t>Elhatárolások becslése</t>
  </si>
  <si>
    <t>ADÓ CSÖKKENTŐ TÉTELEK</t>
  </si>
  <si>
    <t xml:space="preserve">   Ebből Eladott áruk beszerzési értéke (814)</t>
  </si>
  <si>
    <t xml:space="preserve">   Ebből Eladott (közvetített) szolg. értéke (815)</t>
  </si>
  <si>
    <t>APEH Általános forgalmi adó beszedési számla</t>
  </si>
  <si>
    <t>10032000-01076868</t>
  </si>
  <si>
    <t>APEH szakképzési hozzájárulás beszedési számla</t>
  </si>
  <si>
    <t>10032000-06056061</t>
  </si>
  <si>
    <t>Kerekítés</t>
  </si>
  <si>
    <t>Kerekít</t>
  </si>
  <si>
    <t>Össz.:</t>
  </si>
  <si>
    <t>Átvitel következő időszakra</t>
  </si>
  <si>
    <t>Folyószlára kerül</t>
  </si>
  <si>
    <t>Tárgy időszak</t>
  </si>
  <si>
    <t>Kerekített egyenleg</t>
  </si>
  <si>
    <t>Adófolyószámla egyenleg:</t>
  </si>
  <si>
    <t>Áthozat előző időszakról</t>
  </si>
  <si>
    <t>Átvitel</t>
  </si>
  <si>
    <t>OTP Magánnyugdíjpénztár</t>
  </si>
  <si>
    <t>I. negyedév</t>
  </si>
  <si>
    <t>II. negyedév</t>
  </si>
  <si>
    <t>III. negyedév</t>
  </si>
  <si>
    <t>IV. negyedév</t>
  </si>
  <si>
    <r>
      <t xml:space="preserve">K + J </t>
    </r>
    <r>
      <rPr>
        <b/>
        <sz val="13"/>
        <color indexed="8"/>
        <rFont val="Arial CE"/>
        <family val="2"/>
      </rPr>
      <t>Számviteli Szolgáltató Kft.</t>
    </r>
  </si>
  <si>
    <t>K + J Kft.</t>
  </si>
  <si>
    <t>OTP</t>
  </si>
  <si>
    <t>Allianz Hungária</t>
  </si>
  <si>
    <t>Innovációs járulék</t>
  </si>
  <si>
    <t>Innovációs hozzájárulás</t>
  </si>
  <si>
    <t>Allianz Hungária Magánnyugdíjpénztár</t>
  </si>
  <si>
    <t>Járulékok:</t>
  </si>
  <si>
    <t>x</t>
  </si>
  <si>
    <t>1111 Bp</t>
  </si>
  <si>
    <t>12345678-2-41</t>
  </si>
  <si>
    <t>01-10-012345</t>
  </si>
  <si>
    <t>11111111-22222222-33333333</t>
  </si>
  <si>
    <t>.hó</t>
  </si>
  <si>
    <t>12345678-1234-123-01</t>
  </si>
  <si>
    <t>KT</t>
  </si>
  <si>
    <t>PJ</t>
  </si>
  <si>
    <t>Próba Kft.</t>
  </si>
  <si>
    <t>123-45-67</t>
  </si>
  <si>
    <t>765-43-21</t>
  </si>
  <si>
    <t>320-2970      Fax: 465-0752</t>
  </si>
  <si>
    <t>10032000-06056339</t>
  </si>
  <si>
    <t>APEH START-kártya kedv. járulék beszedési számla</t>
  </si>
  <si>
    <t>10032000-06056346</t>
  </si>
  <si>
    <t>186 START-kártya kedv. Járulék (10032000-06056346)</t>
  </si>
  <si>
    <t xml:space="preserve">   Ebből Anyagköltség (811)                     </t>
  </si>
  <si>
    <t>10032000-06056638</t>
  </si>
  <si>
    <t>Aegon Magánnyugdíjpénztár</t>
  </si>
  <si>
    <t>10032000-06056504</t>
  </si>
  <si>
    <t>ING Magánnyugdíjpénztár</t>
  </si>
  <si>
    <t>10032000-06056614</t>
  </si>
  <si>
    <t>Winterthur Magánnyugdíjpénztár</t>
  </si>
  <si>
    <t>10032000-06056559</t>
  </si>
  <si>
    <t>10032000-06056511</t>
  </si>
  <si>
    <t>Természetbeni juttatás</t>
  </si>
  <si>
    <t>Különadózó</t>
  </si>
  <si>
    <t>jöv. SZJA</t>
  </si>
  <si>
    <t>Aegon</t>
  </si>
  <si>
    <t>ING</t>
  </si>
  <si>
    <t>Winterthur</t>
  </si>
  <si>
    <t>Kifizetőt terhelő SZJA</t>
  </si>
  <si>
    <t>Egyenleg:</t>
  </si>
  <si>
    <t>Kerekített egyenleg (466. - 468.)</t>
  </si>
  <si>
    <t>Közösségi</t>
  </si>
  <si>
    <t>január</t>
  </si>
  <si>
    <t>február</t>
  </si>
  <si>
    <t>március</t>
  </si>
  <si>
    <t>április</t>
  </si>
  <si>
    <t>május</t>
  </si>
  <si>
    <t>június</t>
  </si>
  <si>
    <t>augusztus</t>
  </si>
  <si>
    <t>szeptember</t>
  </si>
  <si>
    <t>október</t>
  </si>
  <si>
    <t xml:space="preserve">november </t>
  </si>
  <si>
    <t>december</t>
  </si>
  <si>
    <t>július</t>
  </si>
  <si>
    <t>Társasági adó alapja</t>
  </si>
  <si>
    <t>Társasági adó elvárt alapja</t>
  </si>
  <si>
    <t>Adó alapja, vagy</t>
  </si>
  <si>
    <t>Elvárt adóalap</t>
  </si>
  <si>
    <t>Kamatkedvezmény</t>
  </si>
  <si>
    <t>A 10%-os társasági adókulcs alkalmazási feltételei fennálnak:</t>
  </si>
  <si>
    <t>adókedvezmény = 0</t>
  </si>
  <si>
    <t>Statisztikai létszám (minimum=1)</t>
  </si>
  <si>
    <t>Kötelező járulékalap:</t>
  </si>
  <si>
    <t>Elszámolt járulékalap (bérköltség 821)</t>
  </si>
  <si>
    <t>Cégnév:</t>
  </si>
  <si>
    <t xml:space="preserve">BÉRFELADÁS </t>
  </si>
  <si>
    <t>Gazd. esem.</t>
  </si>
  <si>
    <t>Tartozik</t>
  </si>
  <si>
    <t>Követel</t>
  </si>
  <si>
    <t>Bérköltség (munkaviszonyból)</t>
  </si>
  <si>
    <t>Bérköltség (tagi viszonyból)</t>
  </si>
  <si>
    <t>Megbízási jogviszonyból szárm. díj</t>
  </si>
  <si>
    <t>OTP Magánnyugdíjpénztár (8%)</t>
  </si>
  <si>
    <t>______________________________</t>
  </si>
  <si>
    <t>Aláírás</t>
  </si>
  <si>
    <t>Biz. sz.:</t>
  </si>
  <si>
    <t>Budapest,</t>
  </si>
  <si>
    <t>Ellenőrző szám: Nettó bér:</t>
  </si>
  <si>
    <t>Adóköteles természetbeni juttatások összesen</t>
  </si>
  <si>
    <t>Nybizt. j</t>
  </si>
  <si>
    <t>Adóköteles</t>
  </si>
  <si>
    <t>rész</t>
  </si>
  <si>
    <t>Aegon Magánnyugdíjpénztár (8%)</t>
  </si>
  <si>
    <t>10032000-01076112</t>
  </si>
  <si>
    <t>10032000-01076105</t>
  </si>
  <si>
    <t>Társasági Adó</t>
  </si>
  <si>
    <t>Nybizt. Alap</t>
  </si>
  <si>
    <t>Szakképzési hj.</t>
  </si>
  <si>
    <t>Vállalkozói járulék</t>
  </si>
  <si>
    <t>Start-kártya</t>
  </si>
  <si>
    <t>Magánszemélyek különadója</t>
  </si>
  <si>
    <t>Társas vállalk. különadója</t>
  </si>
  <si>
    <t>Rehabilitációs hj.</t>
  </si>
  <si>
    <t>Bírság, mul. bírság</t>
  </si>
  <si>
    <t>Adónem</t>
  </si>
  <si>
    <t>APEH össz.:</t>
  </si>
  <si>
    <t xml:space="preserve">EGYÉB BÉRFELADÁS </t>
  </si>
  <si>
    <t>Letiltás</t>
  </si>
  <si>
    <t>Magánnyp</t>
  </si>
  <si>
    <t>Magánnyugdíjpénztárak</t>
  </si>
  <si>
    <t>261-280</t>
  </si>
  <si>
    <t>Nemzeti kult. jár.</t>
  </si>
  <si>
    <t>Magánnypénztárak</t>
  </si>
  <si>
    <t>261-280 Magánnyugdíjpénztárak</t>
  </si>
  <si>
    <r>
      <t xml:space="preserve">Iparűzési Adó              </t>
    </r>
    <r>
      <rPr>
        <sz val="10"/>
        <rFont val="Arial CE"/>
        <family val="0"/>
      </rPr>
      <t>(Ft)</t>
    </r>
  </si>
  <si>
    <t>Könyvelő (K+J):</t>
  </si>
  <si>
    <t>Nyugdíjbiztosítás (24%)</t>
  </si>
  <si>
    <t>Nyugdíjjárulék (9,5% v. 1,5%)</t>
  </si>
  <si>
    <t>Start kártya járulék</t>
  </si>
  <si>
    <t>Beszerz.</t>
  </si>
  <si>
    <t>Értékes.</t>
  </si>
  <si>
    <t>Adózott eredmény</t>
  </si>
  <si>
    <t>IV.</t>
  </si>
  <si>
    <t>stat.létszám*minimálbér*2&lt;járulékalap</t>
  </si>
  <si>
    <t>igen</t>
  </si>
  <si>
    <t>Tartaléklekötés (feltételekkel), de minimis t.</t>
  </si>
  <si>
    <t>Egyéb feltételek megléte, vállalása igen/nem</t>
  </si>
  <si>
    <t xml:space="preserve">Évgyűrűk </t>
  </si>
  <si>
    <t>Évgyűrűk Magánnyugdíjpénztár</t>
  </si>
  <si>
    <t>10032000-06056597</t>
  </si>
  <si>
    <t>Rendezett munkaügyi kapcs. Igen/nem        ?</t>
  </si>
  <si>
    <t>N</t>
  </si>
  <si>
    <t>Ellenőrző szám: összes járulék</t>
  </si>
  <si>
    <t xml:space="preserve">         Összeg      Kerek</t>
  </si>
  <si>
    <t>241. Cégautóadó (10032000-01076167)</t>
  </si>
  <si>
    <t>APEH Cégautó-adó beszedési számla</t>
  </si>
  <si>
    <t>10032000-01076167</t>
  </si>
  <si>
    <t>Megfizetett</t>
  </si>
  <si>
    <t>gjműadó</t>
  </si>
  <si>
    <t>7000/15000</t>
  </si>
  <si>
    <t>Cégautóadó</t>
  </si>
  <si>
    <t>Természetbeni juttatások</t>
  </si>
  <si>
    <t>Sorsz.</t>
  </si>
  <si>
    <t>Bizonylat-szám</t>
  </si>
  <si>
    <t>Teljesítés időszaka</t>
  </si>
  <si>
    <t>Áfával növelt összeg</t>
  </si>
  <si>
    <t>Tételes elkülönítés</t>
  </si>
  <si>
    <t>Cég-telefon</t>
  </si>
  <si>
    <t>Autó-pályadíj</t>
  </si>
  <si>
    <t>Adóköteles összeg</t>
  </si>
  <si>
    <t>1.</t>
  </si>
  <si>
    <t>2.</t>
  </si>
  <si>
    <t>3.</t>
  </si>
  <si>
    <t>Szja</t>
  </si>
  <si>
    <t>Szja-val növelt járulékalap</t>
  </si>
  <si>
    <t>Nyugdíjbizt.jár.</t>
  </si>
  <si>
    <t>BEVALLÁSI IDŐSZAK:</t>
  </si>
  <si>
    <t>SZAKKÉPZÉSI ALAP /I.</t>
  </si>
  <si>
    <t>SZAKKÉPZÉSI ALAP /II.</t>
  </si>
  <si>
    <r>
      <t>Figyelmeztetés!!!</t>
    </r>
    <r>
      <rPr>
        <sz val="10"/>
        <rFont val="Arial CE"/>
        <family val="0"/>
      </rPr>
      <t xml:space="preserve"> (Képletellenőrzés szükséges)</t>
    </r>
  </si>
  <si>
    <t>2120 Dunakeszi, Rákóczi út 66.</t>
  </si>
  <si>
    <t>466-468</t>
  </si>
  <si>
    <t>Ellenőrző szám: Vegyes tételek összesen</t>
  </si>
  <si>
    <t>Tételes elkülöní-tés</t>
  </si>
  <si>
    <r>
      <t xml:space="preserve">Társasági adó </t>
    </r>
    <r>
      <rPr>
        <sz val="11"/>
        <rFont val="Arial"/>
        <family val="2"/>
      </rPr>
      <t>(10% I/N  ,   Adóalap  ,  Adó)</t>
    </r>
  </si>
  <si>
    <t>Pü. műveletek bevételei</t>
  </si>
  <si>
    <t>Pü. műveletek eredménye</t>
  </si>
  <si>
    <t>ELÁBÉ, közvetített szolg.</t>
  </si>
  <si>
    <t>2010. január</t>
  </si>
  <si>
    <t>2010. február</t>
  </si>
  <si>
    <t>2010. március</t>
  </si>
  <si>
    <t>2010. április</t>
  </si>
  <si>
    <t>2010. május</t>
  </si>
  <si>
    <t>2010. június</t>
  </si>
  <si>
    <t>2010. július</t>
  </si>
  <si>
    <t>2010. augusztus</t>
  </si>
  <si>
    <t>2010. szeptember</t>
  </si>
  <si>
    <t>2010. október</t>
  </si>
  <si>
    <t>2010. november</t>
  </si>
  <si>
    <t>2010. december</t>
  </si>
  <si>
    <t>/2010/Bér</t>
  </si>
  <si>
    <t>2010. ÉVI ÁFA ELSZÁMOLÁS</t>
  </si>
  <si>
    <t xml:space="preserve">2010. DEC. 20-I FELTÖLTÉS </t>
  </si>
  <si>
    <t>2010. nov.30.</t>
  </si>
  <si>
    <t>2010. dec 20.</t>
  </si>
  <si>
    <t>2010. évben befizetett előleg</t>
  </si>
  <si>
    <t>2010. december 20.-án fizetendő (2009.év: árbev&gt;50MFt.)</t>
  </si>
  <si>
    <t>2010. Dec. 31.</t>
  </si>
  <si>
    <t xml:space="preserve">2010. évben befizetett előleg </t>
  </si>
  <si>
    <t>(2009.év: árbev&lt;50MFt, akkor + 2011.01.20)</t>
  </si>
  <si>
    <t>2010. ÉVI TÁRSASÁGI ADÓ MEGÁLLAPÍTÁSA</t>
  </si>
  <si>
    <t>2010.évi Társasági adó (19%)</t>
  </si>
  <si>
    <t>2010.évi Társasági adó (10% - 19%)</t>
  </si>
  <si>
    <t>2010. évre befizetett előlegek:</t>
  </si>
  <si>
    <t>2010. ÉVI IPARŰZÉSI ADÓ MEGÁLLAPÍTÁSA</t>
  </si>
  <si>
    <t>Pénzb. Egbj.</t>
  </si>
  <si>
    <t>Term Egbj.</t>
  </si>
  <si>
    <t>Mpj</t>
  </si>
  <si>
    <t>Egbj+mpj (1,5%+0,5%+1%)+(4.950)</t>
  </si>
  <si>
    <t>Egbj+mpj (4%+2%+1,5%)</t>
  </si>
  <si>
    <t>Egbj + mpj</t>
  </si>
  <si>
    <t>Egb+mpj</t>
  </si>
  <si>
    <t>188. Egészségbiztosítási és munkaerő-piaci járulék (10032000-06057749)</t>
  </si>
  <si>
    <t>Személyhez köthető EHO</t>
  </si>
  <si>
    <t>Sz-hez nem köthető EHO</t>
  </si>
  <si>
    <t>Összes bevétel</t>
  </si>
  <si>
    <t>Adóév: adóalap,v aee&gt;jövedelemminimum</t>
  </si>
  <si>
    <t>Megelőző év: adóalap,v aee&gt;jövmin. igen/nem       ?</t>
  </si>
  <si>
    <t>Csökkentő tényezők</t>
  </si>
  <si>
    <t>2010-ben megszünő adónemek</t>
  </si>
  <si>
    <t>Megnev.</t>
  </si>
  <si>
    <t>Önellenőrzés</t>
  </si>
  <si>
    <t>számlasz.</t>
  </si>
  <si>
    <t>TV Különadó</t>
  </si>
  <si>
    <t>199 / 4612</t>
  </si>
  <si>
    <t>198 / 4621</t>
  </si>
  <si>
    <t>Magánszem. Különadója</t>
  </si>
  <si>
    <t>144 / 4631</t>
  </si>
  <si>
    <t>145 / 4632</t>
  </si>
  <si>
    <t>185 / 4638</t>
  </si>
  <si>
    <t>119+172</t>
  </si>
  <si>
    <t>APEH Egbj + munkaerő-piaci járulék</t>
  </si>
  <si>
    <t>10032000-06057749</t>
  </si>
  <si>
    <t>10032000-01810039</t>
  </si>
  <si>
    <t>Igazságügyi és Rendészeti Minisztérium</t>
  </si>
  <si>
    <t>ügyazonosító</t>
  </si>
  <si>
    <t>Ü ajándék</t>
  </si>
  <si>
    <t>54%  e</t>
  </si>
  <si>
    <t>Kedvezményes</t>
  </si>
  <si>
    <t>Kedvezm</t>
  </si>
  <si>
    <t>nem</t>
  </si>
  <si>
    <t>Természetbeni hozzájárulások adója</t>
  </si>
  <si>
    <t>Telefon 54%</t>
  </si>
  <si>
    <t xml:space="preserve">Számfejtett természetbeni juttatások </t>
  </si>
  <si>
    <t>Üzleti ajándék SZJA 54%</t>
  </si>
  <si>
    <t>Üzleti ajándék EHO.27%</t>
  </si>
  <si>
    <t>tel 1%</t>
  </si>
  <si>
    <t>tel 0,5%</t>
  </si>
  <si>
    <t>tel 1,5%</t>
  </si>
  <si>
    <t xml:space="preserve"> Számfejtett természetbeni juttatások (SZJA+TB segédtábla)</t>
  </si>
  <si>
    <t>Számfejtett term. Juttatás SZJA</t>
  </si>
  <si>
    <t>Természetbeni jutt. tel Egbj+mpj</t>
  </si>
  <si>
    <t>Természetbeni jutt. tel Nybizt. A.</t>
  </si>
  <si>
    <t>24% tel</t>
  </si>
  <si>
    <t>ING Magánnyugdíjpénztár (8%)</t>
  </si>
  <si>
    <t>Winterthur Magánnyugdíjpénztár (8%)</t>
  </si>
  <si>
    <t>Allianz Magánnyugdíjpénztár (8%)</t>
  </si>
  <si>
    <t>Össz. Term.</t>
  </si>
  <si>
    <t>Telefon</t>
  </si>
  <si>
    <t>Járulékalap</t>
  </si>
  <si>
    <t>Termb juttatás (tel) SZJA 54%</t>
  </si>
  <si>
    <t>27% Alap</t>
  </si>
  <si>
    <t>e-mail:</t>
  </si>
  <si>
    <t>info@probakft.hu</t>
  </si>
  <si>
    <t>09A60</t>
  </si>
  <si>
    <t>APEHfszla egyenlege (2010. 01. 01.)</t>
  </si>
  <si>
    <t>124. EGB Alap</t>
  </si>
  <si>
    <t>EGBizt. Alap</t>
  </si>
  <si>
    <t>APEH Egészségbiztosítási alap</t>
  </si>
  <si>
    <t>10032000-06056229</t>
  </si>
  <si>
    <t>Kedves Felhasználó!</t>
  </si>
  <si>
    <t>A táblazatok használata felhasználói szintű Excel ismeretet igényel.</t>
  </si>
  <si>
    <t>A táblázatok, a képletek nincsenek levédve, tehát, mindenki  - a saját felelősségére - átjavíthat a táblázatokban bármit. Mi - az anyag készítői - semmilyen felelősséget nem vállalunk a táblázat használatából, a képletek esetleges felülírásából és a törvények nem megfelelő alkalmazásából eredő hibákért.</t>
  </si>
  <si>
    <t>Továbbá, szeretnénk felhívni a figyelmeteket arra is, hogy az esetleges fellelt hibákról a visszajelzéseket köszönettel vesszük, de arra nincsen sem módunk, sem időnk, hogy bárkinek is az igényei szerint a táblázatokat "testre szabjuk" vagy a használatra vonatkozóan további "oktatást" tartsunk.</t>
  </si>
  <si>
    <t>Jó munkát kívánunk!</t>
  </si>
  <si>
    <t>Ez a táblázat az egyes adónemek analitikai nyilvántartására szolgál.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</si>
</sst>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0.000"/>
    <numFmt numFmtId="173" formatCode="yy\ mm\ dd"/>
    <numFmt numFmtId="174" formatCode="0.0%"/>
    <numFmt numFmtId="175" formatCode="#,##0\ &quot;Ft&quot;"/>
    <numFmt numFmtId="176" formatCode="0.0"/>
    <numFmt numFmtId="177" formatCode="#,##0.000"/>
    <numFmt numFmtId="178" formatCode="#,##0.0"/>
    <numFmt numFmtId="179" formatCode="0000\ 0000\ 0000\ 0000"/>
    <numFmt numFmtId="180" formatCode="yyyy\ mm\ dd"/>
    <numFmt numFmtId="181" formatCode="#,##0.0000"/>
    <numFmt numFmtId="182" formatCode="[$-40E]yyyy\.\ mmmm\ d\."/>
    <numFmt numFmtId="183" formatCode="[$-40E]mmm/\ d\.;@"/>
    <numFmt numFmtId="184" formatCode="m\.\ d\.;@"/>
    <numFmt numFmtId="185" formatCode="[$-40E]yyyy/\ mmmm;@"/>
  </numFmts>
  <fonts count="7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MS Sans Serif"/>
      <family val="2"/>
    </font>
    <font>
      <b/>
      <sz val="16"/>
      <name val="Arial CE"/>
      <family val="2"/>
    </font>
    <font>
      <sz val="10"/>
      <color indexed="17"/>
      <name val="Arial CE"/>
      <family val="2"/>
    </font>
    <font>
      <sz val="12"/>
      <color indexed="17"/>
      <name val="Arial CE"/>
      <family val="2"/>
    </font>
    <font>
      <b/>
      <sz val="14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u val="single"/>
      <sz val="14"/>
      <name val="Arial CE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4"/>
      <color indexed="17"/>
      <name val="Arial CE"/>
      <family val="2"/>
    </font>
    <font>
      <sz val="14"/>
      <name val="Arial CE"/>
      <family val="2"/>
    </font>
    <font>
      <b/>
      <sz val="20"/>
      <color indexed="10"/>
      <name val="Arial CE"/>
      <family val="2"/>
    </font>
    <font>
      <b/>
      <sz val="13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b/>
      <sz val="10"/>
      <color indexed="4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2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0" tint="-0.4999699890613556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3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173" fontId="0" fillId="0" borderId="12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4" fillId="0" borderId="27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174" fontId="0" fillId="0" borderId="10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32" xfId="0" applyBorder="1" applyAlignment="1">
      <alignment horizontal="center"/>
    </xf>
    <xf numFmtId="16" fontId="0" fillId="0" borderId="32" xfId="0" applyNumberFormat="1" applyBorder="1" applyAlignment="1">
      <alignment horizontal="center"/>
    </xf>
    <xf numFmtId="3" fontId="1" fillId="0" borderId="26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" fillId="0" borderId="32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16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 applyProtection="1">
      <alignment vertical="center" wrapText="1"/>
      <protection hidden="1" locked="0"/>
    </xf>
    <xf numFmtId="3" fontId="0" fillId="0" borderId="0" xfId="0" applyNumberFormat="1" applyFont="1" applyBorder="1" applyAlignment="1" applyProtection="1">
      <alignment/>
      <protection hidden="1" locked="0"/>
    </xf>
    <xf numFmtId="3" fontId="1" fillId="0" borderId="0" xfId="0" applyNumberFormat="1" applyFont="1" applyBorder="1" applyAlignment="1" applyProtection="1">
      <alignment/>
      <protection hidden="1" locked="0"/>
    </xf>
    <xf numFmtId="3" fontId="1" fillId="0" borderId="0" xfId="0" applyNumberFormat="1" applyFont="1" applyBorder="1" applyAlignment="1">
      <alignment/>
    </xf>
    <xf numFmtId="9" fontId="0" fillId="0" borderId="0" xfId="62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 applyProtection="1">
      <alignment/>
      <protection hidden="1" locked="0"/>
    </xf>
    <xf numFmtId="3" fontId="1" fillId="0" borderId="42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 indent="6"/>
    </xf>
    <xf numFmtId="0" fontId="3" fillId="0" borderId="0" xfId="0" applyFont="1" applyAlignment="1">
      <alignment horizontal="left" indent="8"/>
    </xf>
    <xf numFmtId="0" fontId="3" fillId="0" borderId="0" xfId="0" applyFont="1" applyAlignment="1">
      <alignment horizontal="left" indent="3"/>
    </xf>
    <xf numFmtId="0" fontId="11" fillId="0" borderId="41" xfId="0" applyFont="1" applyBorder="1" applyAlignment="1">
      <alignment/>
    </xf>
    <xf numFmtId="0" fontId="10" fillId="0" borderId="41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left" indent="7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0" xfId="0" applyFont="1" applyAlignment="1">
      <alignment horizontal="left" indent="9"/>
    </xf>
    <xf numFmtId="0" fontId="15" fillId="0" borderId="0" xfId="0" applyFont="1" applyAlignment="1">
      <alignment horizontal="left" indent="9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0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left" indent="7"/>
    </xf>
    <xf numFmtId="0" fontId="16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indent="3"/>
    </xf>
    <xf numFmtId="175" fontId="21" fillId="0" borderId="41" xfId="0" applyNumberFormat="1" applyFont="1" applyBorder="1" applyAlignment="1">
      <alignment/>
    </xf>
    <xf numFmtId="0" fontId="3" fillId="0" borderId="41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4" fontId="3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17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1" fillId="0" borderId="33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172" fontId="1" fillId="0" borderId="0" xfId="0" applyNumberFormat="1" applyFont="1" applyAlignment="1">
      <alignment/>
    </xf>
    <xf numFmtId="0" fontId="1" fillId="0" borderId="42" xfId="0" applyFont="1" applyBorder="1" applyAlignment="1">
      <alignment/>
    </xf>
    <xf numFmtId="0" fontId="0" fillId="0" borderId="42" xfId="0" applyFont="1" applyBorder="1" applyAlignment="1">
      <alignment/>
    </xf>
    <xf numFmtId="177" fontId="0" fillId="0" borderId="42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 indent="3"/>
    </xf>
    <xf numFmtId="0" fontId="4" fillId="0" borderId="0" xfId="0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0" fillId="0" borderId="32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10" xfId="0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/>
    </xf>
    <xf numFmtId="9" fontId="0" fillId="0" borderId="28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3" fontId="22" fillId="0" borderId="0" xfId="0" applyNumberFormat="1" applyFont="1" applyAlignment="1">
      <alignment vertical="center"/>
    </xf>
    <xf numFmtId="177" fontId="1" fillId="0" borderId="0" xfId="0" applyNumberFormat="1" applyFont="1" applyAlignment="1">
      <alignment/>
    </xf>
    <xf numFmtId="0" fontId="19" fillId="0" borderId="0" xfId="0" applyFont="1" applyBorder="1" applyAlignment="1">
      <alignment wrapText="1"/>
    </xf>
    <xf numFmtId="9" fontId="0" fillId="0" borderId="10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6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9" fontId="0" fillId="0" borderId="21" xfId="0" applyNumberForma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0" fillId="0" borderId="42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9" fontId="0" fillId="0" borderId="30" xfId="0" applyNumberFormat="1" applyBorder="1" applyAlignment="1">
      <alignment horizontal="center"/>
    </xf>
    <xf numFmtId="0" fontId="0" fillId="0" borderId="57" xfId="0" applyBorder="1" applyAlignment="1">
      <alignment/>
    </xf>
    <xf numFmtId="0" fontId="0" fillId="0" borderId="43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0" fontId="1" fillId="0" borderId="58" xfId="0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60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3" fontId="2" fillId="0" borderId="41" xfId="0" applyNumberFormat="1" applyFont="1" applyBorder="1" applyAlignment="1">
      <alignment/>
    </xf>
    <xf numFmtId="0" fontId="3" fillId="0" borderId="45" xfId="0" applyFont="1" applyBorder="1" applyAlignment="1">
      <alignment/>
    </xf>
    <xf numFmtId="3" fontId="28" fillId="0" borderId="0" xfId="0" applyNumberFormat="1" applyFont="1" applyAlignment="1">
      <alignment/>
    </xf>
    <xf numFmtId="14" fontId="28" fillId="0" borderId="0" xfId="0" applyNumberFormat="1" applyFont="1" applyAlignment="1">
      <alignment horizontal="left"/>
    </xf>
    <xf numFmtId="0" fontId="2" fillId="0" borderId="0" xfId="0" applyFont="1" applyBorder="1" applyAlignment="1" quotePrefix="1">
      <alignment horizontal="right"/>
    </xf>
    <xf numFmtId="9" fontId="0" fillId="0" borderId="23" xfId="0" applyNumberFormat="1" applyBorder="1" applyAlignment="1">
      <alignment horizontal="center"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3" fontId="1" fillId="0" borderId="6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3" fontId="0" fillId="0" borderId="58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64" xfId="0" applyNumberFormat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75" fontId="5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29" fillId="0" borderId="0" xfId="0" applyNumberFormat="1" applyFont="1" applyAlignment="1">
      <alignment/>
    </xf>
    <xf numFmtId="3" fontId="0" fillId="0" borderId="12" xfId="0" applyNumberForma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/>
    </xf>
    <xf numFmtId="0" fontId="1" fillId="0" borderId="42" xfId="0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3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74" fontId="0" fillId="0" borderId="16" xfId="62" applyNumberFormat="1" applyFon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3" fontId="1" fillId="0" borderId="65" xfId="0" applyNumberFormat="1" applyFont="1" applyBorder="1" applyAlignment="1">
      <alignment horizontal="left"/>
    </xf>
    <xf numFmtId="3" fontId="1" fillId="0" borderId="59" xfId="0" applyNumberFormat="1" applyFont="1" applyBorder="1" applyAlignment="1">
      <alignment/>
    </xf>
    <xf numFmtId="3" fontId="1" fillId="0" borderId="34" xfId="0" applyNumberFormat="1" applyFont="1" applyBorder="1" applyAlignment="1">
      <alignment horizontal="left"/>
    </xf>
    <xf numFmtId="3" fontId="32" fillId="0" borderId="0" xfId="0" applyNumberFormat="1" applyFont="1" applyBorder="1" applyAlignment="1">
      <alignment/>
    </xf>
    <xf numFmtId="173" fontId="32" fillId="0" borderId="12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0" fillId="0" borderId="25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32" fillId="0" borderId="6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42" xfId="0" applyNumberFormat="1" applyBorder="1" applyAlignment="1">
      <alignment/>
    </xf>
    <xf numFmtId="3" fontId="0" fillId="0" borderId="27" xfId="0" applyNumberFormat="1" applyBorder="1" applyAlignment="1">
      <alignment/>
    </xf>
    <xf numFmtId="184" fontId="1" fillId="0" borderId="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27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0" fontId="27" fillId="0" borderId="0" xfId="0" applyFont="1" applyAlignment="1">
      <alignment/>
    </xf>
    <xf numFmtId="185" fontId="27" fillId="0" borderId="0" xfId="0" applyNumberFormat="1" applyFont="1" applyAlignment="1">
      <alignment/>
    </xf>
    <xf numFmtId="0" fontId="27" fillId="0" borderId="66" xfId="0" applyFont="1" applyBorder="1" applyAlignment="1">
      <alignment horizontal="center" vertical="center"/>
    </xf>
    <xf numFmtId="49" fontId="27" fillId="0" borderId="66" xfId="0" applyNumberFormat="1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/>
    </xf>
    <xf numFmtId="49" fontId="27" fillId="0" borderId="67" xfId="0" applyNumberFormat="1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9" fontId="27" fillId="0" borderId="67" xfId="0" applyNumberFormat="1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/>
    </xf>
    <xf numFmtId="49" fontId="28" fillId="0" borderId="46" xfId="0" applyNumberFormat="1" applyFont="1" applyBorder="1" applyAlignment="1">
      <alignment horizontal="right"/>
    </xf>
    <xf numFmtId="14" fontId="28" fillId="0" borderId="46" xfId="0" applyNumberFormat="1" applyFont="1" applyBorder="1" applyAlignment="1">
      <alignment horizontal="right"/>
    </xf>
    <xf numFmtId="0" fontId="28" fillId="0" borderId="46" xfId="0" applyFont="1" applyBorder="1" applyAlignment="1">
      <alignment/>
    </xf>
    <xf numFmtId="3" fontId="28" fillId="0" borderId="46" xfId="0" applyNumberFormat="1" applyFont="1" applyBorder="1" applyAlignment="1">
      <alignment horizontal="right"/>
    </xf>
    <xf numFmtId="3" fontId="28" fillId="0" borderId="46" xfId="0" applyNumberFormat="1" applyFont="1" applyBorder="1" applyAlignment="1">
      <alignment/>
    </xf>
    <xf numFmtId="0" fontId="3" fillId="0" borderId="46" xfId="0" applyFont="1" applyBorder="1" applyAlignment="1">
      <alignment/>
    </xf>
    <xf numFmtId="49" fontId="3" fillId="0" borderId="46" xfId="0" applyNumberFormat="1" applyFont="1" applyBorder="1" applyAlignment="1">
      <alignment/>
    </xf>
    <xf numFmtId="0" fontId="2" fillId="0" borderId="46" xfId="0" applyFont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75" fontId="28" fillId="0" borderId="0" xfId="0" applyNumberFormat="1" applyFont="1" applyAlignment="1">
      <alignment horizontal="left"/>
    </xf>
    <xf numFmtId="0" fontId="28" fillId="0" borderId="28" xfId="0" applyFont="1" applyBorder="1" applyAlignment="1">
      <alignment/>
    </xf>
    <xf numFmtId="0" fontId="28" fillId="0" borderId="10" xfId="0" applyFont="1" applyBorder="1" applyAlignment="1">
      <alignment/>
    </xf>
    <xf numFmtId="9" fontId="28" fillId="0" borderId="10" xfId="0" applyNumberFormat="1" applyFont="1" applyBorder="1" applyAlignment="1">
      <alignment horizontal="left"/>
    </xf>
    <xf numFmtId="0" fontId="28" fillId="0" borderId="11" xfId="0" applyFont="1" applyBorder="1" applyAlignment="1">
      <alignment/>
    </xf>
    <xf numFmtId="9" fontId="28" fillId="0" borderId="0" xfId="0" applyNumberFormat="1" applyFont="1" applyBorder="1" applyAlignment="1">
      <alignment horizontal="lef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 horizontal="left"/>
    </xf>
    <xf numFmtId="174" fontId="28" fillId="0" borderId="0" xfId="0" applyNumberFormat="1" applyFont="1" applyBorder="1" applyAlignment="1">
      <alignment horizontal="left"/>
    </xf>
    <xf numFmtId="0" fontId="28" fillId="0" borderId="61" xfId="0" applyFont="1" applyBorder="1" applyAlignment="1">
      <alignment/>
    </xf>
    <xf numFmtId="0" fontId="3" fillId="0" borderId="42" xfId="0" applyFont="1" applyBorder="1" applyAlignment="1">
      <alignment/>
    </xf>
    <xf numFmtId="3" fontId="28" fillId="0" borderId="18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3" fontId="28" fillId="0" borderId="43" xfId="0" applyNumberFormat="1" applyFont="1" applyBorder="1" applyAlignment="1">
      <alignment/>
    </xf>
    <xf numFmtId="0" fontId="1" fillId="0" borderId="68" xfId="0" applyFont="1" applyBorder="1" applyAlignment="1">
      <alignment/>
    </xf>
    <xf numFmtId="3" fontId="27" fillId="0" borderId="63" xfId="0" applyNumberFormat="1" applyFont="1" applyBorder="1" applyAlignment="1">
      <alignment horizontal="right"/>
    </xf>
    <xf numFmtId="9" fontId="28" fillId="0" borderId="42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69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 wrapText="1"/>
    </xf>
    <xf numFmtId="0" fontId="35" fillId="0" borderId="71" xfId="0" applyFont="1" applyBorder="1" applyAlignment="1" applyProtection="1">
      <alignment horizontal="center" vertical="center" wrapText="1"/>
      <protection hidden="1" locked="0"/>
    </xf>
    <xf numFmtId="0" fontId="35" fillId="0" borderId="47" xfId="0" applyFont="1" applyBorder="1" applyAlignment="1">
      <alignment/>
    </xf>
    <xf numFmtId="3" fontId="36" fillId="0" borderId="67" xfId="0" applyNumberFormat="1" applyFont="1" applyBorder="1" applyAlignment="1" applyProtection="1">
      <alignment/>
      <protection hidden="1" locked="0"/>
    </xf>
    <xf numFmtId="3" fontId="36" fillId="0" borderId="48" xfId="0" applyNumberFormat="1" applyFont="1" applyBorder="1" applyAlignment="1" applyProtection="1">
      <alignment/>
      <protection hidden="1" locked="0"/>
    </xf>
    <xf numFmtId="0" fontId="36" fillId="0" borderId="47" xfId="0" applyFont="1" applyBorder="1" applyAlignment="1">
      <alignment/>
    </xf>
    <xf numFmtId="0" fontId="37" fillId="0" borderId="47" xfId="0" applyFont="1" applyBorder="1" applyAlignment="1">
      <alignment/>
    </xf>
    <xf numFmtId="0" fontId="35" fillId="0" borderId="72" xfId="0" applyFont="1" applyBorder="1" applyAlignment="1">
      <alignment/>
    </xf>
    <xf numFmtId="3" fontId="35" fillId="0" borderId="46" xfId="0" applyNumberFormat="1" applyFont="1" applyBorder="1" applyAlignment="1">
      <alignment/>
    </xf>
    <xf numFmtId="3" fontId="35" fillId="0" borderId="73" xfId="0" applyNumberFormat="1" applyFont="1" applyBorder="1" applyAlignment="1">
      <alignment/>
    </xf>
    <xf numFmtId="0" fontId="35" fillId="0" borderId="33" xfId="0" applyFont="1" applyBorder="1" applyAlignment="1">
      <alignment/>
    </xf>
    <xf numFmtId="3" fontId="35" fillId="0" borderId="74" xfId="0" applyNumberFormat="1" applyFont="1" applyBorder="1" applyAlignment="1">
      <alignment/>
    </xf>
    <xf numFmtId="3" fontId="35" fillId="0" borderId="75" xfId="0" applyNumberFormat="1" applyFont="1" applyBorder="1" applyAlignment="1">
      <alignment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0" fontId="36" fillId="0" borderId="28" xfId="0" applyFont="1" applyBorder="1" applyAlignment="1">
      <alignment/>
    </xf>
    <xf numFmtId="0" fontId="34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36" fillId="0" borderId="11" xfId="0" applyFont="1" applyBorder="1" applyAlignment="1">
      <alignment/>
    </xf>
    <xf numFmtId="0" fontId="34" fillId="0" borderId="0" xfId="0" applyFont="1" applyBorder="1" applyAlignment="1">
      <alignment/>
    </xf>
    <xf numFmtId="3" fontId="36" fillId="0" borderId="12" xfId="0" applyNumberFormat="1" applyFont="1" applyBorder="1" applyAlignment="1">
      <alignment/>
    </xf>
    <xf numFmtId="3" fontId="36" fillId="0" borderId="60" xfId="0" applyNumberFormat="1" applyFont="1" applyBorder="1" applyAlignment="1" applyProtection="1">
      <alignment horizontal="center"/>
      <protection hidden="1" locked="0"/>
    </xf>
    <xf numFmtId="3" fontId="36" fillId="0" borderId="60" xfId="0" applyNumberFormat="1" applyFont="1" applyBorder="1" applyAlignment="1" applyProtection="1">
      <alignment/>
      <protection hidden="1" locked="0"/>
    </xf>
    <xf numFmtId="3" fontId="35" fillId="0" borderId="76" xfId="0" applyNumberFormat="1" applyFont="1" applyBorder="1" applyAlignment="1" applyProtection="1">
      <alignment/>
      <protection hidden="1" locked="0"/>
    </xf>
    <xf numFmtId="3" fontId="35" fillId="0" borderId="0" xfId="0" applyNumberFormat="1" applyFont="1" applyBorder="1" applyAlignment="1" applyProtection="1">
      <alignment/>
      <protection hidden="1" locked="0"/>
    </xf>
    <xf numFmtId="3" fontId="36" fillId="0" borderId="12" xfId="0" applyNumberFormat="1" applyFont="1" applyBorder="1" applyAlignment="1" applyProtection="1">
      <alignment/>
      <protection hidden="1" locked="0"/>
    </xf>
    <xf numFmtId="0" fontId="35" fillId="0" borderId="11" xfId="0" applyFont="1" applyBorder="1" applyAlignment="1">
      <alignment/>
    </xf>
    <xf numFmtId="3" fontId="35" fillId="0" borderId="12" xfId="0" applyNumberFormat="1" applyFont="1" applyBorder="1" applyAlignment="1" applyProtection="1">
      <alignment/>
      <protection hidden="1" locked="0"/>
    </xf>
    <xf numFmtId="3" fontId="35" fillId="0" borderId="27" xfId="0" applyNumberFormat="1" applyFont="1" applyBorder="1" applyAlignment="1" applyProtection="1">
      <alignment/>
      <protection hidden="1" locked="0"/>
    </xf>
    <xf numFmtId="0" fontId="36" fillId="0" borderId="61" xfId="0" applyFont="1" applyBorder="1" applyAlignment="1">
      <alignment/>
    </xf>
    <xf numFmtId="3" fontId="36" fillId="0" borderId="42" xfId="0" applyNumberFormat="1" applyFont="1" applyBorder="1" applyAlignment="1" applyProtection="1">
      <alignment/>
      <protection hidden="1" locked="0"/>
    </xf>
    <xf numFmtId="3" fontId="35" fillId="0" borderId="42" xfId="0" applyNumberFormat="1" applyFont="1" applyBorder="1" applyAlignment="1" applyProtection="1">
      <alignment/>
      <protection hidden="1" locked="0"/>
    </xf>
    <xf numFmtId="3" fontId="36" fillId="0" borderId="43" xfId="0" applyNumberFormat="1" applyFont="1" applyBorder="1" applyAlignment="1" applyProtection="1">
      <alignment/>
      <protection hidden="1" locked="0"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0" fontId="35" fillId="0" borderId="69" xfId="0" applyFont="1" applyBorder="1" applyAlignment="1">
      <alignment/>
    </xf>
    <xf numFmtId="3" fontId="35" fillId="0" borderId="77" xfId="0" applyNumberFormat="1" applyFont="1" applyBorder="1" applyAlignment="1" applyProtection="1">
      <alignment/>
      <protection hidden="1" locked="0"/>
    </xf>
    <xf numFmtId="3" fontId="35" fillId="0" borderId="77" xfId="0" applyNumberFormat="1" applyFont="1" applyBorder="1" applyAlignment="1">
      <alignment/>
    </xf>
    <xf numFmtId="3" fontId="35" fillId="0" borderId="78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0" fontId="35" fillId="0" borderId="61" xfId="0" applyFont="1" applyBorder="1" applyAlignment="1">
      <alignment/>
    </xf>
    <xf numFmtId="3" fontId="36" fillId="0" borderId="42" xfId="0" applyNumberFormat="1" applyFont="1" applyBorder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5" fillId="0" borderId="62" xfId="0" applyFont="1" applyBorder="1" applyAlignment="1">
      <alignment/>
    </xf>
    <xf numFmtId="0" fontId="35" fillId="0" borderId="68" xfId="0" applyFont="1" applyBorder="1" applyAlignment="1">
      <alignment/>
    </xf>
    <xf numFmtId="3" fontId="35" fillId="0" borderId="63" xfId="0" applyNumberFormat="1" applyFont="1" applyBorder="1" applyAlignment="1">
      <alignment/>
    </xf>
    <xf numFmtId="3" fontId="35" fillId="0" borderId="0" xfId="0" applyNumberFormat="1" applyFont="1" applyBorder="1" applyAlignment="1" applyProtection="1" quotePrefix="1">
      <alignment horizontal="right"/>
      <protection hidden="1" locked="0"/>
    </xf>
    <xf numFmtId="3" fontId="35" fillId="0" borderId="0" xfId="0" applyNumberFormat="1" applyFont="1" applyBorder="1" applyAlignment="1" applyProtection="1">
      <alignment horizontal="right"/>
      <protection hidden="1" locked="0"/>
    </xf>
    <xf numFmtId="3" fontId="35" fillId="0" borderId="43" xfId="0" applyNumberFormat="1" applyFont="1" applyBorder="1" applyAlignment="1" applyProtection="1">
      <alignment/>
      <protection hidden="1" locked="0"/>
    </xf>
    <xf numFmtId="9" fontId="0" fillId="0" borderId="20" xfId="62" applyFont="1" applyBorder="1" applyAlignment="1">
      <alignment horizontal="center"/>
    </xf>
    <xf numFmtId="3" fontId="0" fillId="0" borderId="5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3" fontId="0" fillId="0" borderId="61" xfId="0" applyNumberFormat="1" applyBorder="1" applyAlignment="1">
      <alignment/>
    </xf>
    <xf numFmtId="9" fontId="0" fillId="0" borderId="31" xfId="62" applyFont="1" applyBorder="1" applyAlignment="1">
      <alignment horizontal="center"/>
    </xf>
    <xf numFmtId="3" fontId="0" fillId="0" borderId="7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8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" fillId="0" borderId="0" xfId="0" applyFont="1" applyBorder="1" applyAlignment="1">
      <alignment/>
    </xf>
    <xf numFmtId="3" fontId="3" fillId="0" borderId="81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9" fontId="0" fillId="0" borderId="28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6" xfId="0" applyNumberFormat="1" applyBorder="1" applyAlignment="1">
      <alignment/>
    </xf>
    <xf numFmtId="0" fontId="30" fillId="0" borderId="0" xfId="43" applyAlignment="1" applyProtection="1">
      <alignment horizontal="left" indent="3"/>
      <protection/>
    </xf>
    <xf numFmtId="0" fontId="0" fillId="0" borderId="48" xfId="0" applyFont="1" applyBorder="1" applyAlignment="1">
      <alignment/>
    </xf>
    <xf numFmtId="175" fontId="0" fillId="0" borderId="11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175" fontId="0" fillId="0" borderId="61" xfId="0" applyNumberFormat="1" applyFont="1" applyBorder="1" applyAlignment="1">
      <alignment/>
    </xf>
    <xf numFmtId="174" fontId="0" fillId="0" borderId="18" xfId="0" applyNumberFormat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2" fillId="0" borderId="0" xfId="57" applyFont="1" applyAlignment="1" quotePrefix="1">
      <alignment horizontal="left"/>
    </xf>
    <xf numFmtId="44" fontId="2" fillId="0" borderId="0" xfId="57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60" xfId="0" applyNumberFormat="1" applyFont="1" applyBorder="1" applyAlignment="1">
      <alignment horizontal="center"/>
    </xf>
    <xf numFmtId="3" fontId="2" fillId="0" borderId="65" xfId="0" applyNumberFormat="1" applyFont="1" applyBorder="1" applyAlignment="1">
      <alignment horizontal="center"/>
    </xf>
    <xf numFmtId="3" fontId="28" fillId="0" borderId="0" xfId="0" applyNumberFormat="1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9" fontId="0" fillId="0" borderId="28" xfId="0" applyNumberFormat="1" applyBorder="1" applyAlignment="1">
      <alignment horizontal="center"/>
    </xf>
    <xf numFmtId="3" fontId="22" fillId="0" borderId="0" xfId="0" applyNumberFormat="1" applyFont="1" applyAlignment="1">
      <alignment horizontal="center" vertical="center"/>
    </xf>
    <xf numFmtId="175" fontId="5" fillId="0" borderId="0" xfId="0" applyNumberFormat="1" applyFont="1" applyBorder="1" applyAlignment="1">
      <alignment horizontal="center"/>
    </xf>
    <xf numFmtId="175" fontId="3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1381125</xdr:colOff>
      <xdr:row>9</xdr:row>
      <xdr:rowOff>0</xdr:rowOff>
    </xdr:to>
    <xdr:pic>
      <xdr:nvPicPr>
        <xdr:cNvPr id="1" name="Kép 3" descr="K+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152400</xdr:rowOff>
    </xdr:from>
    <xdr:to>
      <xdr:col>2</xdr:col>
      <xdr:colOff>514350</xdr:colOff>
      <xdr:row>3</xdr:row>
      <xdr:rowOff>95250</xdr:rowOff>
    </xdr:to>
    <xdr:pic>
      <xdr:nvPicPr>
        <xdr:cNvPr id="1" name="Kép 1" descr="K+J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5240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57150</xdr:rowOff>
    </xdr:from>
    <xdr:to>
      <xdr:col>4</xdr:col>
      <xdr:colOff>409575</xdr:colOff>
      <xdr:row>3</xdr:row>
      <xdr:rowOff>85725</xdr:rowOff>
    </xdr:to>
    <xdr:pic>
      <xdr:nvPicPr>
        <xdr:cNvPr id="1" name="Kép 1" descr="K+J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715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obakft.h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17"/>
  <sheetViews>
    <sheetView tabSelected="1" zoomScalePageLayoutView="0" workbookViewId="0" topLeftCell="A4">
      <selection activeCell="A17" sqref="A17:I17"/>
    </sheetView>
  </sheetViews>
  <sheetFormatPr defaultColWidth="9.00390625" defaultRowHeight="12.75"/>
  <cols>
    <col min="9" max="9" width="19.875" style="0" customWidth="1"/>
  </cols>
  <sheetData>
    <row r="9" ht="15.75" customHeight="1"/>
    <row r="11" spans="1:9" ht="15">
      <c r="A11" s="441" t="s">
        <v>442</v>
      </c>
      <c r="B11" s="441"/>
      <c r="C11" s="441"/>
      <c r="D11" s="441"/>
      <c r="E11" s="441"/>
      <c r="F11" s="441"/>
      <c r="G11" s="441"/>
      <c r="H11" s="441"/>
      <c r="I11" s="441"/>
    </row>
    <row r="12" spans="1:9" ht="15">
      <c r="A12" s="440"/>
      <c r="B12" s="440"/>
      <c r="C12" s="440"/>
      <c r="D12" s="440"/>
      <c r="E12" s="440"/>
      <c r="F12" s="440"/>
      <c r="G12" s="440"/>
      <c r="H12" s="440"/>
      <c r="I12" s="440"/>
    </row>
    <row r="13" spans="1:9" ht="15">
      <c r="A13" s="442" t="s">
        <v>447</v>
      </c>
      <c r="B13" s="442"/>
      <c r="C13" s="442"/>
      <c r="D13" s="442"/>
      <c r="E13" s="442"/>
      <c r="F13" s="442"/>
      <c r="G13" s="442"/>
      <c r="H13" s="442"/>
      <c r="I13" s="442"/>
    </row>
    <row r="14" spans="1:9" ht="16.5" customHeight="1">
      <c r="A14" s="443" t="s">
        <v>443</v>
      </c>
      <c r="B14" s="443"/>
      <c r="C14" s="443"/>
      <c r="D14" s="443"/>
      <c r="E14" s="443"/>
      <c r="F14" s="443"/>
      <c r="G14" s="443"/>
      <c r="H14" s="443"/>
      <c r="I14" s="443"/>
    </row>
    <row r="15" spans="1:9" ht="60.75" customHeight="1">
      <c r="A15" s="443" t="s">
        <v>444</v>
      </c>
      <c r="B15" s="443"/>
      <c r="C15" s="443"/>
      <c r="D15" s="443"/>
      <c r="E15" s="443"/>
      <c r="F15" s="443"/>
      <c r="G15" s="443"/>
      <c r="H15" s="443"/>
      <c r="I15" s="443"/>
    </row>
    <row r="16" spans="1:9" ht="59.25" customHeight="1">
      <c r="A16" s="443" t="s">
        <v>445</v>
      </c>
      <c r="B16" s="443"/>
      <c r="C16" s="443"/>
      <c r="D16" s="443"/>
      <c r="E16" s="443"/>
      <c r="F16" s="443"/>
      <c r="G16" s="443"/>
      <c r="H16" s="443"/>
      <c r="I16" s="443"/>
    </row>
    <row r="17" spans="1:9" ht="15" customHeight="1">
      <c r="A17" s="441" t="s">
        <v>446</v>
      </c>
      <c r="B17" s="441"/>
      <c r="C17" s="441"/>
      <c r="D17" s="441"/>
      <c r="E17" s="441"/>
      <c r="F17" s="441"/>
      <c r="G17" s="441"/>
      <c r="H17" s="441"/>
      <c r="I17" s="441"/>
    </row>
  </sheetData>
  <sheetProtection/>
  <mergeCells count="6">
    <mergeCell ref="A11:I11"/>
    <mergeCell ref="A13:I13"/>
    <mergeCell ref="A14:I14"/>
    <mergeCell ref="A15:I15"/>
    <mergeCell ref="A16:I16"/>
    <mergeCell ref="A17:I17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6.625" style="0" customWidth="1"/>
    <col min="2" max="6" width="9.375" style="0" customWidth="1"/>
    <col min="7" max="8" width="10.125" style="0" bestFit="1" customWidth="1"/>
    <col min="9" max="9" width="10.125" style="0" customWidth="1"/>
    <col min="11" max="11" width="9.375" style="0" customWidth="1"/>
    <col min="12" max="12" width="10.375" style="0" customWidth="1"/>
    <col min="13" max="14" width="10.00390625" style="0" customWidth="1"/>
    <col min="15" max="15" width="10.875" style="0" customWidth="1"/>
    <col min="16" max="16" width="10.00390625" style="0" customWidth="1"/>
    <col min="17" max="17" width="10.375" style="0" customWidth="1"/>
    <col min="18" max="18" width="10.375" style="0" bestFit="1" customWidth="1"/>
    <col min="19" max="19" width="8.625" style="0" customWidth="1"/>
    <col min="20" max="20" width="9.00390625" style="0" customWidth="1"/>
  </cols>
  <sheetData>
    <row r="1" spans="7:20" ht="15.75">
      <c r="G1" s="3"/>
      <c r="H1" s="3"/>
      <c r="I1" s="3"/>
      <c r="J1" s="3"/>
      <c r="K1" s="3"/>
      <c r="L1" s="3"/>
      <c r="M1" s="3"/>
      <c r="N1" s="3"/>
      <c r="O1" s="3"/>
      <c r="P1" s="109" t="str">
        <f>Adatlap!$A$17</f>
        <v>Próba Kft.</v>
      </c>
      <c r="Q1" s="3"/>
      <c r="R1" s="109"/>
      <c r="T1" s="109"/>
    </row>
    <row r="2" spans="1:20" ht="15.75">
      <c r="A2" s="260" t="str">
        <f>+CONCATENATE(Adatlap!B11,". ÉVI ADÓTÁBLÁK")</f>
        <v>2010. ÉVI ADÓTÁBLÁK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19" ht="13.5" thickBot="1">
      <c r="A3" s="17"/>
      <c r="B3" s="3"/>
      <c r="C3" s="3"/>
      <c r="D3" s="3"/>
      <c r="E3" s="3"/>
      <c r="F3" s="3"/>
      <c r="G3" s="3"/>
      <c r="H3" s="3"/>
      <c r="I3" s="3"/>
      <c r="J3" s="3"/>
      <c r="K3" s="3"/>
      <c r="L3" s="173"/>
      <c r="M3" s="3"/>
      <c r="N3" s="173"/>
      <c r="P3" s="173"/>
      <c r="S3" s="173"/>
    </row>
    <row r="4" spans="1:15" s="235" customFormat="1" ht="12.75">
      <c r="A4" s="275"/>
      <c r="B4" s="274">
        <v>101</v>
      </c>
      <c r="C4" s="277">
        <v>4611</v>
      </c>
      <c r="D4" s="274">
        <v>103</v>
      </c>
      <c r="E4" s="276"/>
      <c r="F4" s="277">
        <v>4621</v>
      </c>
      <c r="G4" s="274">
        <v>104</v>
      </c>
      <c r="H4" s="276"/>
      <c r="I4" s="277" t="s">
        <v>343</v>
      </c>
      <c r="J4" s="274">
        <v>188</v>
      </c>
      <c r="K4" s="276"/>
      <c r="L4" s="277">
        <v>4636</v>
      </c>
      <c r="M4" s="274">
        <v>125</v>
      </c>
      <c r="N4" s="276"/>
      <c r="O4" s="278">
        <v>4637</v>
      </c>
    </row>
    <row r="5" spans="1:15" s="235" customFormat="1" ht="13.5" thickBot="1">
      <c r="A5" s="279"/>
      <c r="B5" s="475" t="s">
        <v>277</v>
      </c>
      <c r="C5" s="476"/>
      <c r="D5" s="475" t="s">
        <v>20</v>
      </c>
      <c r="E5" s="477"/>
      <c r="F5" s="476"/>
      <c r="G5" s="475" t="s">
        <v>21</v>
      </c>
      <c r="H5" s="477"/>
      <c r="I5" s="476"/>
      <c r="J5" s="475" t="s">
        <v>382</v>
      </c>
      <c r="K5" s="477"/>
      <c r="L5" s="476"/>
      <c r="M5" s="475" t="s">
        <v>278</v>
      </c>
      <c r="N5" s="477"/>
      <c r="O5" s="474"/>
    </row>
    <row r="6" spans="1:15" s="10" customFormat="1" ht="13.5" thickTop="1">
      <c r="A6" s="268" t="s">
        <v>25</v>
      </c>
      <c r="B6" s="272" t="s">
        <v>28</v>
      </c>
      <c r="C6" s="273" t="s">
        <v>29</v>
      </c>
      <c r="D6" s="272" t="s">
        <v>119</v>
      </c>
      <c r="E6" s="47" t="s">
        <v>28</v>
      </c>
      <c r="F6" s="273" t="s">
        <v>29</v>
      </c>
      <c r="G6" s="272" t="s">
        <v>119</v>
      </c>
      <c r="H6" s="47" t="s">
        <v>28</v>
      </c>
      <c r="I6" s="273" t="s">
        <v>29</v>
      </c>
      <c r="J6" s="272" t="s">
        <v>119</v>
      </c>
      <c r="K6" s="47" t="s">
        <v>28</v>
      </c>
      <c r="L6" s="273" t="s">
        <v>29</v>
      </c>
      <c r="M6" s="272" t="s">
        <v>119</v>
      </c>
      <c r="N6" s="47" t="s">
        <v>28</v>
      </c>
      <c r="O6" s="284" t="s">
        <v>29</v>
      </c>
    </row>
    <row r="7" spans="1:15" ht="12.75">
      <c r="A7" s="2" t="s">
        <v>43</v>
      </c>
      <c r="B7" s="30">
        <f>+Adótáblák2!B9</f>
        <v>0</v>
      </c>
      <c r="C7" s="29">
        <f>+Adótáblák2!C9</f>
        <v>0</v>
      </c>
      <c r="D7" s="30"/>
      <c r="E7" s="13">
        <f>+Adótáblák!L106</f>
        <v>0</v>
      </c>
      <c r="F7" s="29">
        <f>+Adótáblák!M106</f>
        <v>0</v>
      </c>
      <c r="G7" s="30"/>
      <c r="H7" s="13">
        <f>+ÁFA!D24</f>
        <v>0</v>
      </c>
      <c r="I7" s="29">
        <f>+ÁFA!J7</f>
        <v>0</v>
      </c>
      <c r="J7" s="30"/>
      <c r="K7" s="13">
        <f>+Adótáblák!M26</f>
        <v>0</v>
      </c>
      <c r="L7" s="29">
        <f>+Adótáblák!N26</f>
        <v>0</v>
      </c>
      <c r="M7" s="30"/>
      <c r="N7" s="13">
        <f>+Adótáblák!L47</f>
        <v>0</v>
      </c>
      <c r="O7" s="54">
        <f>+Adótáblák!M47</f>
        <v>0</v>
      </c>
    </row>
    <row r="8" spans="1:15" ht="12.75">
      <c r="A8" s="187">
        <v>1</v>
      </c>
      <c r="B8" s="30"/>
      <c r="C8" s="29"/>
      <c r="D8" s="30">
        <f>+Adótáblák!K107</f>
        <v>0</v>
      </c>
      <c r="E8" s="13">
        <f>+Adótáblák!L107</f>
        <v>0</v>
      </c>
      <c r="F8" s="29">
        <f>+Adótáblák!M107</f>
        <v>0</v>
      </c>
      <c r="G8" s="30">
        <f>+ÁFA!D8</f>
        <v>0</v>
      </c>
      <c r="H8" s="13">
        <f>+ÁFA!I8</f>
        <v>0</v>
      </c>
      <c r="I8" s="29">
        <f>+ÁFA!J8</f>
        <v>0</v>
      </c>
      <c r="J8" s="30">
        <f>+Adótáblák!L27</f>
        <v>0</v>
      </c>
      <c r="K8" s="13" t="str">
        <f>+Adótáblák!M27</f>
        <v> </v>
      </c>
      <c r="L8" s="29">
        <f>+Adótáblák!N27</f>
        <v>0</v>
      </c>
      <c r="M8" s="30">
        <f>+Adótáblák!K48</f>
        <v>0</v>
      </c>
      <c r="N8" s="13">
        <f>+Adótáblák!L48</f>
        <v>0</v>
      </c>
      <c r="O8" s="54">
        <f>+Adótáblák!M48</f>
        <v>0</v>
      </c>
    </row>
    <row r="9" spans="1:15" ht="12.75">
      <c r="A9" s="187">
        <v>2</v>
      </c>
      <c r="B9" s="30"/>
      <c r="C9" s="29">
        <f>+Adótáblák2!C10</f>
        <v>0</v>
      </c>
      <c r="D9" s="30">
        <f>+Adótáblák!K108</f>
        <v>0</v>
      </c>
      <c r="E9" s="13">
        <f>+Adótáblák!L108</f>
        <v>0</v>
      </c>
      <c r="F9" s="29">
        <f>+Adótáblák!M108</f>
        <v>0</v>
      </c>
      <c r="G9" s="30">
        <f>+ÁFA!D9</f>
        <v>0</v>
      </c>
      <c r="H9" s="13">
        <f>+ÁFA!I9</f>
        <v>0</v>
      </c>
      <c r="I9" s="29">
        <f>+ÁFA!J9</f>
        <v>0</v>
      </c>
      <c r="J9" s="30">
        <f>+Adótáblák!L28</f>
        <v>0</v>
      </c>
      <c r="K9" s="13" t="str">
        <f>+Adótáblák!M28</f>
        <v> </v>
      </c>
      <c r="L9" s="29">
        <f>+Adótáblák!N28</f>
        <v>0</v>
      </c>
      <c r="M9" s="30">
        <f>+Adótáblák!K49</f>
        <v>0</v>
      </c>
      <c r="N9" s="13">
        <f>+Adótáblák!L49</f>
        <v>0</v>
      </c>
      <c r="O9" s="54">
        <f>+Adótáblák!M49</f>
        <v>0</v>
      </c>
    </row>
    <row r="10" spans="1:15" ht="12.75">
      <c r="A10" s="187">
        <v>3</v>
      </c>
      <c r="B10" s="30">
        <f>+Adótáblák2!B11</f>
        <v>0</v>
      </c>
      <c r="C10" s="29">
        <f>+Adótáblák2!C11</f>
        <v>0</v>
      </c>
      <c r="D10" s="30">
        <f>+Adótáblák!K109</f>
        <v>0</v>
      </c>
      <c r="E10" s="13">
        <f>+Adótáblák!L109</f>
        <v>0</v>
      </c>
      <c r="F10" s="29">
        <f>+Adótáblák!M109</f>
        <v>0</v>
      </c>
      <c r="G10" s="30">
        <f>+ÁFA!D10</f>
        <v>0</v>
      </c>
      <c r="H10" s="13">
        <f>+ÁFA!I10</f>
        <v>0</v>
      </c>
      <c r="I10" s="29">
        <f>+ÁFA!J10</f>
        <v>0</v>
      </c>
      <c r="J10" s="30">
        <f>+Adótáblák!L29</f>
        <v>0</v>
      </c>
      <c r="K10" s="13" t="str">
        <f>+Adótáblák!M29</f>
        <v> </v>
      </c>
      <c r="L10" s="29">
        <f>+Adótáblák!N29</f>
        <v>0</v>
      </c>
      <c r="M10" s="30">
        <f>+Adótáblák!K50</f>
        <v>0</v>
      </c>
      <c r="N10" s="13">
        <f>+Adótáblák!L50</f>
        <v>0</v>
      </c>
      <c r="O10" s="54">
        <f>+Adótáblák!M50</f>
        <v>0</v>
      </c>
    </row>
    <row r="11" spans="1:15" ht="12.75">
      <c r="A11" s="187">
        <v>4</v>
      </c>
      <c r="B11" s="30"/>
      <c r="C11" s="29">
        <f>+Adótáblák2!C12</f>
        <v>0</v>
      </c>
      <c r="D11" s="30">
        <f>+Adótáblák!K110</f>
        <v>0</v>
      </c>
      <c r="E11" s="13">
        <f>+Adótáblák!L110</f>
        <v>0</v>
      </c>
      <c r="F11" s="29">
        <f>+Adótáblák!M110</f>
        <v>0</v>
      </c>
      <c r="G11" s="30">
        <f>+ÁFA!D11</f>
        <v>0</v>
      </c>
      <c r="H11" s="13">
        <f>+ÁFA!I11</f>
        <v>0</v>
      </c>
      <c r="I11" s="29">
        <f>+ÁFA!J11</f>
        <v>0</v>
      </c>
      <c r="J11" s="30">
        <f>+Adótáblák!L30</f>
        <v>0</v>
      </c>
      <c r="K11" s="13" t="str">
        <f>+Adótáblák!M30</f>
        <v> </v>
      </c>
      <c r="L11" s="29">
        <f>+Adótáblák!N30</f>
        <v>0</v>
      </c>
      <c r="M11" s="30">
        <f>+Adótáblák!K51</f>
        <v>0</v>
      </c>
      <c r="N11" s="13">
        <f>+Adótáblák!L51</f>
        <v>0</v>
      </c>
      <c r="O11" s="54">
        <f>+Adótáblák!M51</f>
        <v>0</v>
      </c>
    </row>
    <row r="12" spans="1:15" ht="12.75">
      <c r="A12" s="187">
        <v>5</v>
      </c>
      <c r="B12" s="30"/>
      <c r="C12" s="29">
        <f>+Adótáblák2!C13</f>
        <v>0</v>
      </c>
      <c r="D12" s="30">
        <f>+Adótáblák!K111</f>
        <v>0</v>
      </c>
      <c r="E12" s="13">
        <f>+Adótáblák!L111</f>
        <v>0</v>
      </c>
      <c r="F12" s="29">
        <f>+Adótáblák!M111</f>
        <v>0</v>
      </c>
      <c r="G12" s="30">
        <f>+ÁFA!D12</f>
        <v>0</v>
      </c>
      <c r="H12" s="13">
        <f>+ÁFA!I12</f>
        <v>0</v>
      </c>
      <c r="I12" s="29">
        <f>+ÁFA!J12</f>
        <v>0</v>
      </c>
      <c r="J12" s="30">
        <f>+Adótáblák!L31</f>
        <v>0</v>
      </c>
      <c r="K12" s="13" t="str">
        <f>+Adótáblák!M31</f>
        <v> </v>
      </c>
      <c r="L12" s="29">
        <f>+Adótáblák!N31</f>
        <v>0</v>
      </c>
      <c r="M12" s="30">
        <f>+Adótáblák!K52</f>
        <v>0</v>
      </c>
      <c r="N12" s="13">
        <f>+Adótáblák!L52</f>
        <v>0</v>
      </c>
      <c r="O12" s="54">
        <f>+Adótáblák!M52</f>
        <v>0</v>
      </c>
    </row>
    <row r="13" spans="1:15" ht="12.75">
      <c r="A13" s="187">
        <v>6</v>
      </c>
      <c r="B13" s="30">
        <f>+Adótáblák2!B14</f>
        <v>0</v>
      </c>
      <c r="C13" s="29">
        <f>+Adótáblák2!C14</f>
        <v>0</v>
      </c>
      <c r="D13" s="30">
        <f>+Adótáblák!K112</f>
        <v>0</v>
      </c>
      <c r="E13" s="13">
        <f>+Adótáblák!L112</f>
        <v>0</v>
      </c>
      <c r="F13" s="29">
        <f>+Adótáblák!M112</f>
        <v>0</v>
      </c>
      <c r="G13" s="30">
        <f>+ÁFA!D13</f>
        <v>0</v>
      </c>
      <c r="H13" s="13">
        <f>+ÁFA!I13</f>
        <v>0</v>
      </c>
      <c r="I13" s="29">
        <f>+ÁFA!J13</f>
        <v>0</v>
      </c>
      <c r="J13" s="30">
        <f>+Adótáblák!L32</f>
        <v>0</v>
      </c>
      <c r="K13" s="13" t="str">
        <f>+Adótáblák!M32</f>
        <v> </v>
      </c>
      <c r="L13" s="29">
        <f>+Adótáblák!N32</f>
        <v>0</v>
      </c>
      <c r="M13" s="30">
        <f>+Adótáblák!K53</f>
        <v>0</v>
      </c>
      <c r="N13" s="13">
        <f>+Adótáblák!L53</f>
        <v>0</v>
      </c>
      <c r="O13" s="54">
        <f>+Adótáblák!M53</f>
        <v>0</v>
      </c>
    </row>
    <row r="14" spans="1:15" ht="12.75">
      <c r="A14" s="187">
        <v>7</v>
      </c>
      <c r="B14" s="30"/>
      <c r="C14" s="29">
        <f>+Adótáblák2!C15</f>
        <v>0</v>
      </c>
      <c r="D14" s="30">
        <f>+Adótáblák!K113</f>
        <v>0</v>
      </c>
      <c r="E14" s="13">
        <f>+Adótáblák!L113</f>
        <v>0</v>
      </c>
      <c r="F14" s="29">
        <f>+Adótáblák!M113</f>
        <v>0</v>
      </c>
      <c r="G14" s="30">
        <f>+ÁFA!D14</f>
        <v>0</v>
      </c>
      <c r="H14" s="13">
        <f>+ÁFA!I14</f>
        <v>0</v>
      </c>
      <c r="I14" s="29">
        <f>+ÁFA!J14</f>
        <v>0</v>
      </c>
      <c r="J14" s="30">
        <f>+Adótáblák!L33</f>
        <v>0</v>
      </c>
      <c r="K14" s="13" t="str">
        <f>+Adótáblák!M33</f>
        <v> </v>
      </c>
      <c r="L14" s="29">
        <f>+Adótáblák!N33</f>
        <v>0</v>
      </c>
      <c r="M14" s="30">
        <f>+Adótáblák!K54</f>
        <v>0</v>
      </c>
      <c r="N14" s="13">
        <f>+Adótáblák!L54</f>
        <v>0</v>
      </c>
      <c r="O14" s="54">
        <f>+Adótáblák!M54</f>
        <v>0</v>
      </c>
    </row>
    <row r="15" spans="1:15" ht="12.75">
      <c r="A15" s="187">
        <v>8</v>
      </c>
      <c r="B15" s="30"/>
      <c r="C15" s="29">
        <f>+Adótáblák2!C16</f>
        <v>0</v>
      </c>
      <c r="D15" s="30">
        <f>+Adótáblák!K114</f>
        <v>0</v>
      </c>
      <c r="E15" s="13">
        <f>+Adótáblák!L114</f>
        <v>0</v>
      </c>
      <c r="F15" s="29">
        <f>+Adótáblák!M114</f>
        <v>0</v>
      </c>
      <c r="G15" s="30">
        <f>+ÁFA!D15</f>
        <v>0</v>
      </c>
      <c r="H15" s="13">
        <f>+ÁFA!I15</f>
        <v>0</v>
      </c>
      <c r="I15" s="29">
        <f>+ÁFA!J15</f>
        <v>0</v>
      </c>
      <c r="J15" s="30">
        <f>+Adótáblák!L34</f>
        <v>0</v>
      </c>
      <c r="K15" s="13" t="str">
        <f>+Adótáblák!M34</f>
        <v> </v>
      </c>
      <c r="L15" s="29">
        <f>+Adótáblák!N34</f>
        <v>0</v>
      </c>
      <c r="M15" s="30">
        <f>+Adótáblák!K55</f>
        <v>0</v>
      </c>
      <c r="N15" s="13">
        <f>+Adótáblák!L55</f>
        <v>0</v>
      </c>
      <c r="O15" s="54">
        <f>+Adótáblák!M55</f>
        <v>0</v>
      </c>
    </row>
    <row r="16" spans="1:15" ht="12.75">
      <c r="A16" s="187">
        <v>9</v>
      </c>
      <c r="B16" s="30">
        <f>+Adótáblák2!B17</f>
        <v>0</v>
      </c>
      <c r="C16" s="29">
        <f>+Adótáblák2!C17</f>
        <v>0</v>
      </c>
      <c r="D16" s="30">
        <f>+Adótáblák!K115</f>
        <v>0</v>
      </c>
      <c r="E16" s="13">
        <f>+Adótáblák!L115</f>
        <v>0</v>
      </c>
      <c r="F16" s="29">
        <f>+Adótáblák!M115</f>
        <v>0</v>
      </c>
      <c r="G16" s="30">
        <f>+ÁFA!D16</f>
        <v>0</v>
      </c>
      <c r="H16" s="13">
        <f>+ÁFA!I16</f>
        <v>0</v>
      </c>
      <c r="I16" s="29">
        <f>+ÁFA!J16</f>
        <v>0</v>
      </c>
      <c r="J16" s="30">
        <f>+Adótáblák!L35</f>
        <v>0</v>
      </c>
      <c r="K16" s="13" t="str">
        <f>+Adótáblák!M35</f>
        <v> </v>
      </c>
      <c r="L16" s="29">
        <f>+Adótáblák!N35</f>
        <v>0</v>
      </c>
      <c r="M16" s="30">
        <f>+Adótáblák!K56</f>
        <v>0</v>
      </c>
      <c r="N16" s="13">
        <f>+Adótáblák!L56</f>
        <v>0</v>
      </c>
      <c r="O16" s="54">
        <f>+Adótáblák!M56</f>
        <v>0</v>
      </c>
    </row>
    <row r="17" spans="1:15" ht="12.75">
      <c r="A17" s="187">
        <v>10</v>
      </c>
      <c r="B17" s="30"/>
      <c r="C17" s="29">
        <f>+Adótáblák2!C18</f>
        <v>0</v>
      </c>
      <c r="D17" s="30">
        <f>+Adótáblák!K116</f>
        <v>0</v>
      </c>
      <c r="E17" s="13">
        <f>+Adótáblák!L116</f>
        <v>0</v>
      </c>
      <c r="F17" s="29">
        <f>+Adótáblák!M116</f>
        <v>0</v>
      </c>
      <c r="G17" s="30">
        <f>+ÁFA!D17</f>
        <v>0</v>
      </c>
      <c r="H17" s="13">
        <f>+ÁFA!I17</f>
        <v>0</v>
      </c>
      <c r="I17" s="29">
        <f>+ÁFA!J17</f>
        <v>0</v>
      </c>
      <c r="J17" s="30">
        <f>+Adótáblák!L36</f>
        <v>0</v>
      </c>
      <c r="K17" s="13" t="str">
        <f>+Adótáblák!M36</f>
        <v> </v>
      </c>
      <c r="L17" s="29">
        <f>+Adótáblák!N36</f>
        <v>0</v>
      </c>
      <c r="M17" s="30">
        <f>+Adótáblák!K57</f>
        <v>0</v>
      </c>
      <c r="N17" s="13">
        <f>+Adótáblák!L57</f>
        <v>0</v>
      </c>
      <c r="O17" s="54">
        <f>+Adótáblák!M57</f>
        <v>0</v>
      </c>
    </row>
    <row r="18" spans="1:15" ht="12.75">
      <c r="A18" s="187">
        <v>11</v>
      </c>
      <c r="B18" s="30">
        <f>+Adótáblák2!B20</f>
        <v>0</v>
      </c>
      <c r="C18" s="29">
        <f>+Adótáblák2!C19</f>
        <v>0</v>
      </c>
      <c r="D18" s="30">
        <f>+Adótáblák!K117</f>
        <v>0</v>
      </c>
      <c r="E18" s="13">
        <f>+Adótáblák!L117</f>
        <v>0</v>
      </c>
      <c r="F18" s="29">
        <f>+Adótáblák!M117</f>
        <v>0</v>
      </c>
      <c r="G18" s="30">
        <f>+ÁFA!D18</f>
        <v>0</v>
      </c>
      <c r="H18" s="13">
        <f>+ÁFA!I18</f>
        <v>0</v>
      </c>
      <c r="I18" s="29">
        <f>+ÁFA!J18</f>
        <v>0</v>
      </c>
      <c r="J18" s="30">
        <f>+Adótáblák!L37</f>
        <v>0</v>
      </c>
      <c r="K18" s="13" t="str">
        <f>+Adótáblák!M37</f>
        <v> </v>
      </c>
      <c r="L18" s="29">
        <f>+Adótáblák!N37</f>
        <v>0</v>
      </c>
      <c r="M18" s="30">
        <f>+Adótáblák!K58</f>
        <v>0</v>
      </c>
      <c r="N18" s="13">
        <f>+Adótáblák!L58</f>
        <v>0</v>
      </c>
      <c r="O18" s="54">
        <f>+Adótáblák!M58</f>
        <v>0</v>
      </c>
    </row>
    <row r="19" spans="1:15" ht="12.75">
      <c r="A19" s="187">
        <v>12</v>
      </c>
      <c r="B19" s="30"/>
      <c r="C19" s="29">
        <f>+Adótáblák2!C20</f>
        <v>0</v>
      </c>
      <c r="D19" s="30">
        <f>+Adótáblák!K118</f>
        <v>0</v>
      </c>
      <c r="E19" s="13">
        <f>+Adótáblák!L118</f>
        <v>0</v>
      </c>
      <c r="F19" s="29">
        <f>+Adótáblák!M118</f>
        <v>0</v>
      </c>
      <c r="G19" s="30">
        <f>+ÁFA!D19</f>
        <v>0</v>
      </c>
      <c r="H19" s="13">
        <f>+ÁFA!I19</f>
        <v>0</v>
      </c>
      <c r="I19" s="29">
        <f>+ÁFA!J19</f>
        <v>0</v>
      </c>
      <c r="J19" s="30">
        <f>+Adótáblák!L38</f>
        <v>0</v>
      </c>
      <c r="K19" s="13" t="str">
        <f>+Adótáblák!M38</f>
        <v> </v>
      </c>
      <c r="L19" s="29">
        <f>+Adótáblák!N38</f>
        <v>0</v>
      </c>
      <c r="M19" s="30">
        <f>+Adótáblák!K59</f>
        <v>0</v>
      </c>
      <c r="N19" s="13">
        <f>+Adótáblák!L59</f>
        <v>0</v>
      </c>
      <c r="O19" s="54">
        <f>+Adótáblák!M59</f>
        <v>0</v>
      </c>
    </row>
    <row r="20" spans="1:15" ht="12.75">
      <c r="A20" s="2" t="s">
        <v>176</v>
      </c>
      <c r="B20" s="30"/>
      <c r="C20" s="29"/>
      <c r="D20" s="30">
        <f>+Adótáblák!K119</f>
        <v>0</v>
      </c>
      <c r="E20" s="13"/>
      <c r="F20" s="29"/>
      <c r="G20" s="30">
        <f>+ÁFA!D20</f>
        <v>0</v>
      </c>
      <c r="H20" s="13"/>
      <c r="I20" s="29"/>
      <c r="J20" s="30">
        <f>+Adótáblák!L39</f>
        <v>0</v>
      </c>
      <c r="K20" s="13"/>
      <c r="L20" s="29"/>
      <c r="M20" s="30">
        <f>+Adótáblák!K60</f>
        <v>0</v>
      </c>
      <c r="N20" s="13"/>
      <c r="O20" s="54"/>
    </row>
    <row r="21" spans="1:15" ht="13.5" thickBot="1">
      <c r="A21" s="161" t="s">
        <v>177</v>
      </c>
      <c r="B21" s="258">
        <f aca="true" t="shared" si="0" ref="B21:O21">SUM(B8:B20)</f>
        <v>0</v>
      </c>
      <c r="C21" s="269">
        <f t="shared" si="0"/>
        <v>0</v>
      </c>
      <c r="D21" s="258">
        <f t="shared" si="0"/>
        <v>0</v>
      </c>
      <c r="E21" s="259">
        <f t="shared" si="0"/>
        <v>0</v>
      </c>
      <c r="F21" s="269">
        <f t="shared" si="0"/>
        <v>0</v>
      </c>
      <c r="G21" s="258">
        <f t="shared" si="0"/>
        <v>0</v>
      </c>
      <c r="H21" s="259">
        <f t="shared" si="0"/>
        <v>0</v>
      </c>
      <c r="I21" s="269">
        <f t="shared" si="0"/>
        <v>0</v>
      </c>
      <c r="J21" s="258">
        <f t="shared" si="0"/>
        <v>0</v>
      </c>
      <c r="K21" s="259">
        <f t="shared" si="0"/>
        <v>0</v>
      </c>
      <c r="L21" s="269">
        <f t="shared" si="0"/>
        <v>0</v>
      </c>
      <c r="M21" s="258">
        <f t="shared" si="0"/>
        <v>0</v>
      </c>
      <c r="N21" s="259">
        <f t="shared" si="0"/>
        <v>0</v>
      </c>
      <c r="O21" s="271">
        <f t="shared" si="0"/>
        <v>0</v>
      </c>
    </row>
    <row r="22" spans="1:15" ht="13.5" thickBot="1">
      <c r="A22" s="265" t="s">
        <v>27</v>
      </c>
      <c r="B22" s="215"/>
      <c r="C22" s="270">
        <f>+B7-C7+B21-C21</f>
        <v>0</v>
      </c>
      <c r="D22" s="215"/>
      <c r="E22" s="215"/>
      <c r="F22" s="270">
        <f>+E7-F7+D21-F21</f>
        <v>0</v>
      </c>
      <c r="G22" s="215"/>
      <c r="H22" s="215"/>
      <c r="I22" s="270">
        <f>+H7-I7+G21-I21</f>
        <v>0</v>
      </c>
      <c r="J22" s="215"/>
      <c r="K22" s="215"/>
      <c r="L22" s="270">
        <f>+K7-L7+J21-L21</f>
        <v>0</v>
      </c>
      <c r="M22" s="215"/>
      <c r="N22" s="215"/>
      <c r="O22" s="270">
        <f>+N7-O7+M21-O21</f>
        <v>0</v>
      </c>
    </row>
    <row r="23" spans="1:15" ht="13.5" thickBot="1">
      <c r="A23" s="268"/>
      <c r="N23" s="289" t="s">
        <v>34</v>
      </c>
      <c r="O23" s="289"/>
    </row>
    <row r="24" spans="1:16" ht="13.5" thickBot="1">
      <c r="A24" s="268"/>
      <c r="N24" s="261" t="s">
        <v>286</v>
      </c>
      <c r="O24" s="262" t="s">
        <v>27</v>
      </c>
      <c r="P24" s="288"/>
    </row>
    <row r="25" spans="1:15" s="235" customFormat="1" ht="12.75">
      <c r="A25" s="275"/>
      <c r="B25" s="274">
        <v>144</v>
      </c>
      <c r="C25" s="276"/>
      <c r="D25" s="277">
        <v>4631</v>
      </c>
      <c r="E25" s="274">
        <v>145</v>
      </c>
      <c r="F25" s="276"/>
      <c r="G25" s="277">
        <v>4632</v>
      </c>
      <c r="H25" s="274">
        <v>152</v>
      </c>
      <c r="I25" s="276"/>
      <c r="J25" s="277">
        <v>4634</v>
      </c>
      <c r="K25" s="274">
        <v>182</v>
      </c>
      <c r="L25" s="278">
        <v>4633</v>
      </c>
      <c r="N25" s="263">
        <v>101</v>
      </c>
      <c r="O25" s="264">
        <f>+C22</f>
        <v>0</v>
      </c>
    </row>
    <row r="26" spans="1:15" s="235" customFormat="1" ht="13.5" thickBot="1">
      <c r="A26" s="279"/>
      <c r="B26" s="475" t="s">
        <v>11</v>
      </c>
      <c r="C26" s="477"/>
      <c r="D26" s="476"/>
      <c r="E26" s="475" t="s">
        <v>12</v>
      </c>
      <c r="F26" s="477"/>
      <c r="G26" s="476"/>
      <c r="H26" s="475" t="s">
        <v>94</v>
      </c>
      <c r="I26" s="477"/>
      <c r="J26" s="476"/>
      <c r="K26" s="475" t="s">
        <v>279</v>
      </c>
      <c r="L26" s="474"/>
      <c r="N26" s="263">
        <v>103</v>
      </c>
      <c r="O26" s="264">
        <f>+F22</f>
        <v>0</v>
      </c>
    </row>
    <row r="27" spans="1:15" ht="13.5" thickTop="1">
      <c r="A27" s="2" t="s">
        <v>25</v>
      </c>
      <c r="B27" s="272" t="s">
        <v>119</v>
      </c>
      <c r="C27" s="47" t="s">
        <v>28</v>
      </c>
      <c r="D27" s="273" t="s">
        <v>29</v>
      </c>
      <c r="E27" s="272" t="s">
        <v>119</v>
      </c>
      <c r="F27" s="47" t="s">
        <v>28</v>
      </c>
      <c r="G27" s="273" t="s">
        <v>29</v>
      </c>
      <c r="H27" s="272" t="s">
        <v>119</v>
      </c>
      <c r="I27" s="47" t="s">
        <v>28</v>
      </c>
      <c r="J27" s="273" t="s">
        <v>29</v>
      </c>
      <c r="K27" s="30" t="s">
        <v>28</v>
      </c>
      <c r="L27" s="54" t="s">
        <v>29</v>
      </c>
      <c r="N27" s="263">
        <v>104</v>
      </c>
      <c r="O27" s="264">
        <f>+I22</f>
        <v>0</v>
      </c>
    </row>
    <row r="28" spans="1:15" ht="12.75">
      <c r="A28" s="2" t="s">
        <v>43</v>
      </c>
      <c r="B28" s="30"/>
      <c r="C28" s="13">
        <f>+Adótáblák!L172+Adótáblák!M172</f>
        <v>0</v>
      </c>
      <c r="D28" s="29">
        <f>+Adótáblák!N172</f>
        <v>0</v>
      </c>
      <c r="E28" s="30"/>
      <c r="F28" s="13">
        <f>+Adótáblák!L174+Adótáblák!M174</f>
        <v>0</v>
      </c>
      <c r="G28" s="29">
        <f>+Adótáblák!N174</f>
        <v>0</v>
      </c>
      <c r="H28" s="30"/>
      <c r="I28" s="13">
        <f>+Adótáblák!J67</f>
        <v>0</v>
      </c>
      <c r="J28" s="29">
        <f>+Adótáblák!K67</f>
        <v>0</v>
      </c>
      <c r="K28" s="30">
        <f>+Adótáblák2!K9</f>
        <v>0</v>
      </c>
      <c r="L28" s="54">
        <f>+Adótáblák2!L9</f>
        <v>0</v>
      </c>
      <c r="N28" s="263">
        <v>188</v>
      </c>
      <c r="O28" s="264">
        <f>+L22</f>
        <v>0</v>
      </c>
    </row>
    <row r="29" spans="1:15" ht="12.75">
      <c r="A29" s="187">
        <v>1</v>
      </c>
      <c r="B29" s="30"/>
      <c r="C29" s="13"/>
      <c r="D29" s="29"/>
      <c r="E29" s="30"/>
      <c r="F29" s="13"/>
      <c r="G29" s="29"/>
      <c r="H29" s="30">
        <f>+Adótáblák!I68</f>
        <v>0</v>
      </c>
      <c r="I29" s="13">
        <f>+Adótáblák!J68</f>
        <v>0</v>
      </c>
      <c r="J29" s="29">
        <f>+Adótáblák!K68</f>
        <v>0</v>
      </c>
      <c r="K29" s="30"/>
      <c r="L29" s="54"/>
      <c r="N29" s="263">
        <v>125</v>
      </c>
      <c r="O29" s="264">
        <f>+O22</f>
        <v>0</v>
      </c>
    </row>
    <row r="30" spans="1:15" ht="12.75">
      <c r="A30" s="187">
        <v>2</v>
      </c>
      <c r="B30" s="30"/>
      <c r="C30" s="13"/>
      <c r="D30" s="29"/>
      <c r="E30" s="30"/>
      <c r="F30" s="13"/>
      <c r="G30" s="29"/>
      <c r="H30" s="30">
        <f>+Adótáblák!I69</f>
        <v>0</v>
      </c>
      <c r="I30" s="13">
        <f>+Adótáblák!J69</f>
        <v>0</v>
      </c>
      <c r="J30" s="29">
        <f>+Adótáblák!K69</f>
        <v>0</v>
      </c>
      <c r="K30" s="30"/>
      <c r="L30" s="54"/>
      <c r="N30" s="263">
        <v>144</v>
      </c>
      <c r="O30" s="264">
        <f>+D43</f>
        <v>0</v>
      </c>
    </row>
    <row r="31" spans="1:15" ht="12.75">
      <c r="A31" s="187">
        <v>3</v>
      </c>
      <c r="B31" s="30"/>
      <c r="C31" s="13"/>
      <c r="D31" s="29"/>
      <c r="E31" s="30"/>
      <c r="F31" s="13"/>
      <c r="G31" s="29"/>
      <c r="H31" s="30">
        <f>+Adótáblák!I70</f>
        <v>0</v>
      </c>
      <c r="I31" s="13">
        <f>+Adótáblák!J70</f>
        <v>0</v>
      </c>
      <c r="J31" s="29">
        <f>+Adótáblák!K70</f>
        <v>0</v>
      </c>
      <c r="K31" s="30"/>
      <c r="L31" s="54"/>
      <c r="N31" s="263">
        <v>145</v>
      </c>
      <c r="O31" s="264">
        <f>+G43</f>
        <v>0</v>
      </c>
    </row>
    <row r="32" spans="1:15" ht="12.75">
      <c r="A32" s="187">
        <v>4</v>
      </c>
      <c r="B32" s="30"/>
      <c r="C32" s="13"/>
      <c r="D32" s="29"/>
      <c r="E32" s="30"/>
      <c r="F32" s="13"/>
      <c r="G32" s="29"/>
      <c r="H32" s="30">
        <f>+Adótáblák!I71</f>
        <v>0</v>
      </c>
      <c r="I32" s="13">
        <f>+Adótáblák!J71</f>
        <v>0</v>
      </c>
      <c r="J32" s="29">
        <f>+Adótáblák!K71</f>
        <v>0</v>
      </c>
      <c r="K32" s="30"/>
      <c r="L32" s="54"/>
      <c r="N32" s="263">
        <v>152</v>
      </c>
      <c r="O32" s="264">
        <f>+J43</f>
        <v>0</v>
      </c>
    </row>
    <row r="33" spans="1:15" ht="12.75">
      <c r="A33" s="187">
        <v>5</v>
      </c>
      <c r="B33" s="30"/>
      <c r="C33" s="13"/>
      <c r="D33" s="29"/>
      <c r="E33" s="30"/>
      <c r="F33" s="13"/>
      <c r="G33" s="29"/>
      <c r="H33" s="30">
        <f>+Adótáblák!I72</f>
        <v>0</v>
      </c>
      <c r="I33" s="13">
        <f>+Adótáblák!J72</f>
        <v>0</v>
      </c>
      <c r="J33" s="29">
        <f>+Adótáblák!K72</f>
        <v>0</v>
      </c>
      <c r="K33" s="30"/>
      <c r="L33" s="54"/>
      <c r="N33" s="263">
        <v>182</v>
      </c>
      <c r="O33" s="264">
        <f>+L43</f>
        <v>0</v>
      </c>
    </row>
    <row r="34" spans="1:15" ht="12.75">
      <c r="A34" s="187">
        <v>6</v>
      </c>
      <c r="B34" s="30"/>
      <c r="C34" s="13"/>
      <c r="D34" s="29"/>
      <c r="E34" s="30"/>
      <c r="F34" s="13"/>
      <c r="G34" s="29"/>
      <c r="H34" s="30">
        <f>+Adótáblák!I73</f>
        <v>0</v>
      </c>
      <c r="I34" s="13">
        <f>+Adótáblák!J73</f>
        <v>0</v>
      </c>
      <c r="J34" s="29">
        <f>+Adótáblák!K73</f>
        <v>0</v>
      </c>
      <c r="K34" s="30">
        <f>+Adótáblák2!K14</f>
        <v>0</v>
      </c>
      <c r="L34" s="54">
        <f>+Adótáblák2!L14</f>
        <v>0</v>
      </c>
      <c r="N34" s="263" t="s">
        <v>402</v>
      </c>
      <c r="O34" s="264">
        <f>+C64+E64</f>
        <v>0</v>
      </c>
    </row>
    <row r="35" spans="1:15" ht="12.75">
      <c r="A35" s="187">
        <v>7</v>
      </c>
      <c r="B35" s="30"/>
      <c r="C35" s="13"/>
      <c r="D35" s="29"/>
      <c r="E35" s="30"/>
      <c r="F35" s="13"/>
      <c r="G35" s="29"/>
      <c r="H35" s="30">
        <f>+Adótáblák!I74</f>
        <v>0</v>
      </c>
      <c r="I35" s="13">
        <f>+Adótáblák!J74</f>
        <v>0</v>
      </c>
      <c r="J35" s="29">
        <f>+Adótáblák!K74</f>
        <v>0</v>
      </c>
      <c r="K35" s="30"/>
      <c r="L35" s="54"/>
      <c r="N35" s="263">
        <v>124</v>
      </c>
      <c r="O35" s="264">
        <f>+J84</f>
        <v>0</v>
      </c>
    </row>
    <row r="36" spans="1:15" ht="12.75">
      <c r="A36" s="187">
        <v>8</v>
      </c>
      <c r="B36" s="30"/>
      <c r="C36" s="13"/>
      <c r="D36" s="29"/>
      <c r="E36" s="30"/>
      <c r="F36" s="13"/>
      <c r="G36" s="29"/>
      <c r="H36" s="30">
        <f>+Adótáblák!I75</f>
        <v>0</v>
      </c>
      <c r="I36" s="13">
        <f>+Adótáblák!J75</f>
        <v>0</v>
      </c>
      <c r="J36" s="29">
        <f>+Adótáblák!K75</f>
        <v>0</v>
      </c>
      <c r="K36" s="30"/>
      <c r="L36" s="54"/>
      <c r="N36" s="263">
        <v>185</v>
      </c>
      <c r="O36" s="264">
        <f>+H64</f>
        <v>0</v>
      </c>
    </row>
    <row r="37" spans="1:15" ht="12.75">
      <c r="A37" s="187">
        <v>9</v>
      </c>
      <c r="B37" s="30"/>
      <c r="C37" s="13"/>
      <c r="D37" s="29"/>
      <c r="E37" s="30"/>
      <c r="F37" s="13"/>
      <c r="G37" s="29"/>
      <c r="H37" s="30">
        <f>+Adótáblák!I76</f>
        <v>0</v>
      </c>
      <c r="I37" s="13">
        <f>+Adótáblák!J76</f>
        <v>0</v>
      </c>
      <c r="J37" s="29">
        <f>+Adótáblák!K76</f>
        <v>0</v>
      </c>
      <c r="K37" s="30"/>
      <c r="L37" s="54"/>
      <c r="N37" s="263">
        <v>186</v>
      </c>
      <c r="O37" s="264">
        <f>+K64</f>
        <v>0</v>
      </c>
    </row>
    <row r="38" spans="1:15" ht="12.75">
      <c r="A38" s="187">
        <v>10</v>
      </c>
      <c r="B38" s="30"/>
      <c r="C38" s="13"/>
      <c r="D38" s="29"/>
      <c r="E38" s="30"/>
      <c r="F38" s="13"/>
      <c r="G38" s="29"/>
      <c r="H38" s="30">
        <f>+Adótáblák!I77</f>
        <v>0</v>
      </c>
      <c r="I38" s="13">
        <f>+Adótáblák!J77</f>
        <v>0</v>
      </c>
      <c r="J38" s="29">
        <f>+Adótáblák!K77</f>
        <v>0</v>
      </c>
      <c r="K38" s="30"/>
      <c r="L38" s="54"/>
      <c r="N38" s="263">
        <v>198</v>
      </c>
      <c r="O38" s="264">
        <f>+N64</f>
        <v>0</v>
      </c>
    </row>
    <row r="39" spans="1:15" ht="12.75">
      <c r="A39" s="187">
        <v>11</v>
      </c>
      <c r="B39" s="30"/>
      <c r="C39" s="13"/>
      <c r="D39" s="29"/>
      <c r="E39" s="30"/>
      <c r="F39" s="13"/>
      <c r="G39" s="29"/>
      <c r="H39" s="30">
        <f>+Adótáblák!I78</f>
        <v>0</v>
      </c>
      <c r="I39" s="13">
        <f>+Adótáblák!J78</f>
        <v>0</v>
      </c>
      <c r="J39" s="29">
        <f>+Adótáblák!K78</f>
        <v>0</v>
      </c>
      <c r="K39" s="30"/>
      <c r="L39" s="54"/>
      <c r="N39" s="263">
        <v>199</v>
      </c>
      <c r="O39" s="264">
        <f>+C84</f>
        <v>0</v>
      </c>
    </row>
    <row r="40" spans="1:15" ht="12.75">
      <c r="A40" s="187">
        <v>12</v>
      </c>
      <c r="B40" s="30"/>
      <c r="C40" s="13"/>
      <c r="D40" s="29"/>
      <c r="E40" s="30"/>
      <c r="F40" s="13"/>
      <c r="G40" s="29"/>
      <c r="H40" s="30">
        <f>+Adótáblák!I79</f>
        <v>0</v>
      </c>
      <c r="I40" s="13">
        <f>+Adótáblák!J79</f>
        <v>0</v>
      </c>
      <c r="J40" s="29">
        <f>+Adótáblák!K79</f>
        <v>0</v>
      </c>
      <c r="K40" s="30">
        <f>+Adótáblák2!K20</f>
        <v>0</v>
      </c>
      <c r="L40" s="54"/>
      <c r="N40" s="263">
        <v>138</v>
      </c>
      <c r="O40" s="264">
        <f>+E84</f>
        <v>0</v>
      </c>
    </row>
    <row r="41" spans="1:15" ht="12.75">
      <c r="A41" s="2" t="s">
        <v>176</v>
      </c>
      <c r="B41" s="30"/>
      <c r="C41" s="13"/>
      <c r="D41" s="29"/>
      <c r="E41" s="30"/>
      <c r="F41" s="13"/>
      <c r="G41" s="29"/>
      <c r="H41" s="30">
        <f>+Adótáblák!I80</f>
        <v>0</v>
      </c>
      <c r="I41" s="13"/>
      <c r="J41" s="29"/>
      <c r="K41" s="30"/>
      <c r="L41" s="54"/>
      <c r="N41" s="263">
        <v>241</v>
      </c>
      <c r="O41" s="264">
        <f>+L84</f>
        <v>0</v>
      </c>
    </row>
    <row r="42" spans="1:15" ht="13.5" thickBot="1">
      <c r="A42" s="161" t="s">
        <v>177</v>
      </c>
      <c r="B42" s="258">
        <f aca="true" t="shared" si="1" ref="B42:L42">SUM(B29:B41)</f>
        <v>0</v>
      </c>
      <c r="C42" s="259">
        <f t="shared" si="1"/>
        <v>0</v>
      </c>
      <c r="D42" s="269">
        <f t="shared" si="1"/>
        <v>0</v>
      </c>
      <c r="E42" s="258">
        <f t="shared" si="1"/>
        <v>0</v>
      </c>
      <c r="F42" s="259">
        <f t="shared" si="1"/>
        <v>0</v>
      </c>
      <c r="G42" s="269">
        <f t="shared" si="1"/>
        <v>0</v>
      </c>
      <c r="H42" s="258">
        <f t="shared" si="1"/>
        <v>0</v>
      </c>
      <c r="I42" s="259">
        <f t="shared" si="1"/>
        <v>0</v>
      </c>
      <c r="J42" s="269">
        <f t="shared" si="1"/>
        <v>0</v>
      </c>
      <c r="K42" s="258">
        <f t="shared" si="1"/>
        <v>0</v>
      </c>
      <c r="L42" s="271">
        <f t="shared" si="1"/>
        <v>0</v>
      </c>
      <c r="N42" s="265" t="s">
        <v>290</v>
      </c>
      <c r="O42" s="291">
        <f>+N84</f>
        <v>0</v>
      </c>
    </row>
    <row r="43" spans="1:15" ht="13.5" thickBot="1">
      <c r="A43" s="265" t="s">
        <v>27</v>
      </c>
      <c r="B43" s="215"/>
      <c r="C43" s="215"/>
      <c r="D43" s="270">
        <f>+C28-D28+B42-D42</f>
        <v>0</v>
      </c>
      <c r="E43" s="215"/>
      <c r="F43" s="215"/>
      <c r="G43" s="270">
        <f>+F28-G28+E42-G42</f>
        <v>0</v>
      </c>
      <c r="H43" s="215"/>
      <c r="I43" s="215"/>
      <c r="J43" s="270">
        <f>+I28-J28+H42-J42</f>
        <v>0</v>
      </c>
      <c r="K43" s="215"/>
      <c r="L43" s="270">
        <f>+K28-L28+K42-L42</f>
        <v>0</v>
      </c>
      <c r="N43" s="266" t="s">
        <v>287</v>
      </c>
      <c r="O43" s="267">
        <f>SUM(O25:O42)</f>
        <v>0</v>
      </c>
    </row>
    <row r="45" ht="13.5" thickBot="1"/>
    <row r="46" spans="1:14" s="235" customFormat="1" ht="12.75">
      <c r="A46" s="275"/>
      <c r="B46" s="274">
        <v>119</v>
      </c>
      <c r="C46" s="277">
        <v>4639</v>
      </c>
      <c r="D46" s="274">
        <v>172</v>
      </c>
      <c r="E46" s="277">
        <v>4639</v>
      </c>
      <c r="F46" s="274">
        <v>185</v>
      </c>
      <c r="G46" s="276"/>
      <c r="H46" s="277">
        <v>4638</v>
      </c>
      <c r="I46" s="274">
        <v>186</v>
      </c>
      <c r="J46" s="276"/>
      <c r="K46" s="277">
        <v>4639</v>
      </c>
      <c r="L46" s="274">
        <v>198</v>
      </c>
      <c r="M46" s="276"/>
      <c r="N46" s="278">
        <v>4622</v>
      </c>
    </row>
    <row r="47" spans="1:14" s="235" customFormat="1" ht="13.5" thickBot="1">
      <c r="A47" s="279"/>
      <c r="B47" s="475" t="s">
        <v>284</v>
      </c>
      <c r="C47" s="476"/>
      <c r="D47" s="285" t="s">
        <v>293</v>
      </c>
      <c r="E47" s="286"/>
      <c r="F47" s="475" t="s">
        <v>280</v>
      </c>
      <c r="G47" s="477"/>
      <c r="H47" s="476"/>
      <c r="I47" s="475" t="s">
        <v>281</v>
      </c>
      <c r="J47" s="477"/>
      <c r="K47" s="476"/>
      <c r="L47" s="475" t="s">
        <v>282</v>
      </c>
      <c r="M47" s="477"/>
      <c r="N47" s="474"/>
    </row>
    <row r="48" spans="1:14" s="10" customFormat="1" ht="13.5" thickTop="1">
      <c r="A48" s="268" t="s">
        <v>25</v>
      </c>
      <c r="B48" s="272" t="s">
        <v>28</v>
      </c>
      <c r="C48" s="273" t="s">
        <v>29</v>
      </c>
      <c r="D48" s="272" t="s">
        <v>28</v>
      </c>
      <c r="E48" s="273" t="s">
        <v>29</v>
      </c>
      <c r="F48" s="272" t="s">
        <v>119</v>
      </c>
      <c r="G48" s="47" t="s">
        <v>28</v>
      </c>
      <c r="H48" s="273" t="s">
        <v>29</v>
      </c>
      <c r="I48" s="272" t="s">
        <v>119</v>
      </c>
      <c r="J48" s="47" t="s">
        <v>28</v>
      </c>
      <c r="K48" s="273" t="s">
        <v>29</v>
      </c>
      <c r="L48" s="272" t="s">
        <v>119</v>
      </c>
      <c r="M48" s="47" t="s">
        <v>28</v>
      </c>
      <c r="N48" s="273" t="s">
        <v>29</v>
      </c>
    </row>
    <row r="49" spans="1:14" ht="12.75">
      <c r="A49" s="2" t="s">
        <v>43</v>
      </c>
      <c r="B49" s="30"/>
      <c r="C49" s="29"/>
      <c r="D49" s="30">
        <f>+Adótáblák2!G29</f>
        <v>0</v>
      </c>
      <c r="E49" s="29">
        <f>+Adótáblák2!H29</f>
        <v>0</v>
      </c>
      <c r="F49" s="30"/>
      <c r="G49" s="13">
        <f>+Adótáblák!L176+Adótáblák!M176</f>
        <v>0</v>
      </c>
      <c r="H49" s="29">
        <f>+Adótáblák!N176</f>
        <v>0</v>
      </c>
      <c r="I49" s="30"/>
      <c r="J49" s="13">
        <f>+Adótáblák!F147</f>
        <v>0</v>
      </c>
      <c r="K49" s="29">
        <f>+Adótáblák!G147</f>
        <v>0</v>
      </c>
      <c r="L49" s="30"/>
      <c r="M49" s="13">
        <f>+Adótáblák!L170+Adótáblák!M170</f>
        <v>0</v>
      </c>
      <c r="N49" s="54">
        <f>+Adótáblák!N170</f>
        <v>0</v>
      </c>
    </row>
    <row r="50" spans="1:14" ht="12.75">
      <c r="A50" s="187">
        <v>1</v>
      </c>
      <c r="B50" s="30"/>
      <c r="C50" s="29"/>
      <c r="D50" s="30"/>
      <c r="E50" s="29">
        <f>+Adótáblák2!H29</f>
        <v>0</v>
      </c>
      <c r="F50" s="30"/>
      <c r="G50" s="13"/>
      <c r="H50" s="29"/>
      <c r="I50" s="30">
        <f>+Adótáblák!E148</f>
        <v>0</v>
      </c>
      <c r="J50" s="13">
        <f>+Adótáblák!F148</f>
        <v>0</v>
      </c>
      <c r="K50" s="29">
        <f>+Adótáblák!G148</f>
        <v>0</v>
      </c>
      <c r="L50" s="30"/>
      <c r="M50" s="13"/>
      <c r="N50" s="54"/>
    </row>
    <row r="51" spans="1:14" ht="12.75">
      <c r="A51" s="187">
        <v>2</v>
      </c>
      <c r="B51" s="30"/>
      <c r="C51" s="29"/>
      <c r="D51" s="30"/>
      <c r="E51" s="29">
        <f>+Adótáblák2!H30</f>
        <v>0</v>
      </c>
      <c r="F51" s="30"/>
      <c r="G51" s="13"/>
      <c r="H51" s="29"/>
      <c r="I51" s="30">
        <f>+Adótáblák!E149</f>
        <v>0</v>
      </c>
      <c r="J51" s="13">
        <f>+Adótáblák!F149</f>
        <v>0</v>
      </c>
      <c r="K51" s="29">
        <f>+Adótáblák!G149</f>
        <v>0</v>
      </c>
      <c r="L51" s="30"/>
      <c r="M51" s="13"/>
      <c r="N51" s="54"/>
    </row>
    <row r="52" spans="1:14" ht="12.75">
      <c r="A52" s="187">
        <v>3</v>
      </c>
      <c r="B52" s="30"/>
      <c r="C52" s="29"/>
      <c r="D52" s="30">
        <f>+Adótáblák2!G31</f>
        <v>0</v>
      </c>
      <c r="E52" s="29">
        <f>+Adótáblák2!H31</f>
        <v>0</v>
      </c>
      <c r="F52" s="30"/>
      <c r="G52" s="13"/>
      <c r="H52" s="29"/>
      <c r="I52" s="30">
        <f>+Adótáblák!E150</f>
        <v>0</v>
      </c>
      <c r="J52" s="13">
        <f>+Adótáblák!F150</f>
        <v>0</v>
      </c>
      <c r="K52" s="29">
        <f>+Adótáblák!G150</f>
        <v>0</v>
      </c>
      <c r="L52" s="30"/>
      <c r="M52" s="13"/>
      <c r="N52" s="54"/>
    </row>
    <row r="53" spans="1:14" ht="12.75">
      <c r="A53" s="187">
        <v>4</v>
      </c>
      <c r="B53" s="30"/>
      <c r="C53" s="29"/>
      <c r="D53" s="30"/>
      <c r="E53" s="29">
        <f>+Adótáblák2!H32</f>
        <v>0</v>
      </c>
      <c r="F53" s="30"/>
      <c r="G53" s="13"/>
      <c r="H53" s="29"/>
      <c r="I53" s="30">
        <f>+Adótáblák!E151</f>
        <v>0</v>
      </c>
      <c r="J53" s="13">
        <f>+Adótáblák!F151</f>
        <v>0</v>
      </c>
      <c r="K53" s="29">
        <f>+Adótáblák!G151</f>
        <v>0</v>
      </c>
      <c r="L53" s="30"/>
      <c r="M53" s="13"/>
      <c r="N53" s="54"/>
    </row>
    <row r="54" spans="1:14" ht="12.75">
      <c r="A54" s="187">
        <v>5</v>
      </c>
      <c r="B54" s="30"/>
      <c r="C54" s="29"/>
      <c r="D54" s="30"/>
      <c r="E54" s="29">
        <f>+Adótáblák2!H33</f>
        <v>0</v>
      </c>
      <c r="F54" s="30"/>
      <c r="G54" s="13"/>
      <c r="H54" s="29"/>
      <c r="I54" s="30">
        <f>+Adótáblák!E152</f>
        <v>0</v>
      </c>
      <c r="J54" s="13">
        <f>+Adótáblák!F152</f>
        <v>0</v>
      </c>
      <c r="K54" s="29">
        <f>+Adótáblák!G152</f>
        <v>0</v>
      </c>
      <c r="L54" s="30"/>
      <c r="M54" s="13"/>
      <c r="N54" s="54"/>
    </row>
    <row r="55" spans="1:14" ht="12.75">
      <c r="A55" s="187">
        <v>6</v>
      </c>
      <c r="B55" s="30"/>
      <c r="C55" s="29"/>
      <c r="D55" s="30">
        <f>+Adótáblák2!G34</f>
        <v>0</v>
      </c>
      <c r="E55" s="29">
        <f>+Adótáblák2!H34</f>
        <v>0</v>
      </c>
      <c r="F55" s="30"/>
      <c r="G55" s="13"/>
      <c r="H55" s="29"/>
      <c r="I55" s="30">
        <f>+Adótáblák!E153</f>
        <v>0</v>
      </c>
      <c r="J55" s="13">
        <f>+Adótáblák!F153</f>
        <v>0</v>
      </c>
      <c r="K55" s="29">
        <f>+Adótáblák!G153</f>
        <v>0</v>
      </c>
      <c r="L55" s="30"/>
      <c r="M55" s="13"/>
      <c r="N55" s="54"/>
    </row>
    <row r="56" spans="1:14" ht="12.75">
      <c r="A56" s="187">
        <v>7</v>
      </c>
      <c r="B56" s="30"/>
      <c r="C56" s="29"/>
      <c r="D56" s="30"/>
      <c r="E56" s="29">
        <f>+Adótáblák2!H35</f>
        <v>0</v>
      </c>
      <c r="F56" s="30"/>
      <c r="G56" s="13"/>
      <c r="H56" s="29"/>
      <c r="I56" s="30">
        <f>+Adótáblák!E154</f>
        <v>0</v>
      </c>
      <c r="J56" s="13">
        <f>+Adótáblák!F154</f>
        <v>0</v>
      </c>
      <c r="K56" s="29">
        <f>+Adótáblák!G154</f>
        <v>0</v>
      </c>
      <c r="L56" s="30"/>
      <c r="M56" s="13"/>
      <c r="N56" s="54"/>
    </row>
    <row r="57" spans="1:14" ht="12.75">
      <c r="A57" s="187">
        <v>8</v>
      </c>
      <c r="B57" s="30"/>
      <c r="C57" s="29"/>
      <c r="D57" s="30"/>
      <c r="E57" s="29">
        <f>+Adótáblák2!H36</f>
        <v>0</v>
      </c>
      <c r="F57" s="30"/>
      <c r="G57" s="13"/>
      <c r="H57" s="29"/>
      <c r="I57" s="30">
        <f>+Adótáblák!E155</f>
        <v>0</v>
      </c>
      <c r="J57" s="13">
        <f>+Adótáblák!F155</f>
        <v>0</v>
      </c>
      <c r="K57" s="29">
        <f>+Adótáblák!G155</f>
        <v>0</v>
      </c>
      <c r="L57" s="30"/>
      <c r="M57" s="13"/>
      <c r="N57" s="54"/>
    </row>
    <row r="58" spans="1:14" ht="12.75">
      <c r="A58" s="187">
        <v>9</v>
      </c>
      <c r="B58" s="30"/>
      <c r="C58" s="29"/>
      <c r="D58" s="30">
        <f>+Adótáblák2!G37</f>
        <v>0</v>
      </c>
      <c r="E58" s="29">
        <f>+Adótáblák2!H37</f>
        <v>0</v>
      </c>
      <c r="F58" s="30"/>
      <c r="G58" s="13"/>
      <c r="H58" s="29"/>
      <c r="I58" s="30">
        <f>+Adótáblák!E156</f>
        <v>0</v>
      </c>
      <c r="J58" s="13">
        <f>+Adótáblák!F156</f>
        <v>0</v>
      </c>
      <c r="K58" s="29">
        <f>+Adótáblák!G156</f>
        <v>0</v>
      </c>
      <c r="L58" s="30"/>
      <c r="M58" s="13"/>
      <c r="N58" s="54"/>
    </row>
    <row r="59" spans="1:14" ht="12.75">
      <c r="A59" s="187">
        <v>10</v>
      </c>
      <c r="B59" s="30"/>
      <c r="C59" s="29"/>
      <c r="D59" s="30"/>
      <c r="E59" s="29">
        <f>+Adótáblák2!H38</f>
        <v>0</v>
      </c>
      <c r="F59" s="30"/>
      <c r="G59" s="13"/>
      <c r="H59" s="29"/>
      <c r="I59" s="30">
        <f>+Adótáblák!E157</f>
        <v>0</v>
      </c>
      <c r="J59" s="13">
        <f>+Adótáblák!F157</f>
        <v>0</v>
      </c>
      <c r="K59" s="29">
        <f>+Adótáblák!G157</f>
        <v>0</v>
      </c>
      <c r="L59" s="30"/>
      <c r="M59" s="13"/>
      <c r="N59" s="54"/>
    </row>
    <row r="60" spans="1:14" ht="12.75">
      <c r="A60" s="187">
        <v>11</v>
      </c>
      <c r="B60" s="30"/>
      <c r="C60" s="29"/>
      <c r="D60" s="30"/>
      <c r="E60" s="29">
        <f>+Adótáblák2!H39</f>
        <v>0</v>
      </c>
      <c r="F60" s="30"/>
      <c r="G60" s="13"/>
      <c r="H60" s="29"/>
      <c r="I60" s="30">
        <f>+Adótáblák!E158</f>
        <v>0</v>
      </c>
      <c r="J60" s="13">
        <f>+Adótáblák!F158</f>
        <v>0</v>
      </c>
      <c r="K60" s="29">
        <f>+Adótáblák!G158</f>
        <v>0</v>
      </c>
      <c r="L60" s="30"/>
      <c r="M60" s="13"/>
      <c r="N60" s="54"/>
    </row>
    <row r="61" spans="1:14" ht="12.75">
      <c r="A61" s="187">
        <v>12</v>
      </c>
      <c r="B61" s="30"/>
      <c r="C61" s="29"/>
      <c r="D61" s="30"/>
      <c r="E61" s="29">
        <f>+Adótáblák2!H40</f>
        <v>0</v>
      </c>
      <c r="F61" s="30"/>
      <c r="G61" s="13"/>
      <c r="H61" s="29"/>
      <c r="I61" s="30">
        <f>+Adótáblák!E159</f>
        <v>0</v>
      </c>
      <c r="J61" s="13">
        <f>+Adótáblák!F159</f>
        <v>0</v>
      </c>
      <c r="K61" s="29">
        <f>+Adótáblák!G159</f>
        <v>0</v>
      </c>
      <c r="L61" s="30"/>
      <c r="M61" s="13"/>
      <c r="N61" s="54"/>
    </row>
    <row r="62" spans="1:14" ht="12.75">
      <c r="A62" s="2" t="s">
        <v>176</v>
      </c>
      <c r="B62" s="30"/>
      <c r="C62" s="29"/>
      <c r="D62" s="30"/>
      <c r="E62" s="29"/>
      <c r="F62" s="30"/>
      <c r="G62" s="13"/>
      <c r="H62" s="29"/>
      <c r="I62" s="30">
        <f>+Adótáblák!E160</f>
        <v>0</v>
      </c>
      <c r="J62" s="13"/>
      <c r="K62" s="29"/>
      <c r="L62" s="30"/>
      <c r="M62" s="13"/>
      <c r="N62" s="54"/>
    </row>
    <row r="63" spans="1:14" ht="13.5" thickBot="1">
      <c r="A63" s="161" t="s">
        <v>177</v>
      </c>
      <c r="B63" s="258">
        <f aca="true" t="shared" si="2" ref="B63:N63">SUM(B50:B62)</f>
        <v>0</v>
      </c>
      <c r="C63" s="269">
        <f t="shared" si="2"/>
        <v>0</v>
      </c>
      <c r="D63" s="258">
        <f t="shared" si="2"/>
        <v>0</v>
      </c>
      <c r="E63" s="269">
        <f t="shared" si="2"/>
        <v>0</v>
      </c>
      <c r="F63" s="258">
        <f t="shared" si="2"/>
        <v>0</v>
      </c>
      <c r="G63" s="259">
        <f t="shared" si="2"/>
        <v>0</v>
      </c>
      <c r="H63" s="269">
        <f t="shared" si="2"/>
        <v>0</v>
      </c>
      <c r="I63" s="258">
        <f t="shared" si="2"/>
        <v>0</v>
      </c>
      <c r="J63" s="259">
        <f t="shared" si="2"/>
        <v>0</v>
      </c>
      <c r="K63" s="269">
        <f t="shared" si="2"/>
        <v>0</v>
      </c>
      <c r="L63" s="258">
        <f t="shared" si="2"/>
        <v>0</v>
      </c>
      <c r="M63" s="259">
        <f t="shared" si="2"/>
        <v>0</v>
      </c>
      <c r="N63" s="271">
        <f t="shared" si="2"/>
        <v>0</v>
      </c>
    </row>
    <row r="64" spans="1:14" ht="13.5" thickBot="1">
      <c r="A64" s="265" t="s">
        <v>27</v>
      </c>
      <c r="B64" s="215"/>
      <c r="C64" s="270">
        <f>+B49-C49+B63-C63</f>
        <v>0</v>
      </c>
      <c r="D64" s="215"/>
      <c r="E64" s="270">
        <f>+D49-E49+D63-E63</f>
        <v>0</v>
      </c>
      <c r="F64" s="215"/>
      <c r="G64" s="215"/>
      <c r="H64" s="270">
        <f>+G49-H49+F63-H63</f>
        <v>0</v>
      </c>
      <c r="I64" s="215"/>
      <c r="J64" s="215"/>
      <c r="K64" s="270">
        <f>+J49-K49+I63-K63</f>
        <v>0</v>
      </c>
      <c r="L64" s="215"/>
      <c r="M64" s="215"/>
      <c r="N64" s="270">
        <f>+M49-N49+L63-N63</f>
        <v>0</v>
      </c>
    </row>
    <row r="65" ht="13.5" thickBot="1"/>
    <row r="66" spans="1:14" s="235" customFormat="1" ht="12.75">
      <c r="A66" s="275"/>
      <c r="B66" s="274">
        <v>199</v>
      </c>
      <c r="C66" s="277">
        <v>4639</v>
      </c>
      <c r="D66" s="274">
        <v>138</v>
      </c>
      <c r="E66" s="277">
        <v>4639</v>
      </c>
      <c r="F66" s="274">
        <v>211</v>
      </c>
      <c r="G66" s="277">
        <v>4639</v>
      </c>
      <c r="H66" s="274">
        <v>124</v>
      </c>
      <c r="I66" s="276"/>
      <c r="J66" s="278">
        <v>4636</v>
      </c>
      <c r="K66" s="276">
        <v>241</v>
      </c>
      <c r="L66" s="276">
        <v>4635</v>
      </c>
      <c r="M66" s="274" t="s">
        <v>292</v>
      </c>
      <c r="N66" s="278">
        <v>473</v>
      </c>
    </row>
    <row r="67" spans="1:14" s="235" customFormat="1" ht="13.5" thickBot="1">
      <c r="A67" s="279"/>
      <c r="B67" s="285" t="s">
        <v>283</v>
      </c>
      <c r="C67" s="286"/>
      <c r="D67" s="285" t="s">
        <v>23</v>
      </c>
      <c r="E67" s="286"/>
      <c r="F67" s="285" t="s">
        <v>285</v>
      </c>
      <c r="G67" s="286"/>
      <c r="H67" s="475" t="s">
        <v>439</v>
      </c>
      <c r="I67" s="477"/>
      <c r="J67" s="474"/>
      <c r="K67" s="473" t="s">
        <v>322</v>
      </c>
      <c r="L67" s="474"/>
      <c r="M67" s="290" t="s">
        <v>294</v>
      </c>
      <c r="N67" s="287"/>
    </row>
    <row r="68" spans="1:14" ht="13.5" thickTop="1">
      <c r="A68" s="2" t="s">
        <v>25</v>
      </c>
      <c r="B68" s="272" t="s">
        <v>28</v>
      </c>
      <c r="C68" s="273" t="s">
        <v>29</v>
      </c>
      <c r="D68" s="272" t="s">
        <v>28</v>
      </c>
      <c r="E68" s="273" t="s">
        <v>29</v>
      </c>
      <c r="F68" s="272" t="s">
        <v>28</v>
      </c>
      <c r="G68" s="273" t="s">
        <v>29</v>
      </c>
      <c r="H68" s="272" t="s">
        <v>119</v>
      </c>
      <c r="I68" s="47" t="s">
        <v>28</v>
      </c>
      <c r="J68" s="284" t="s">
        <v>29</v>
      </c>
      <c r="K68" s="272" t="s">
        <v>28</v>
      </c>
      <c r="L68" s="273" t="s">
        <v>29</v>
      </c>
      <c r="M68" s="272" t="s">
        <v>28</v>
      </c>
      <c r="N68" s="273" t="s">
        <v>29</v>
      </c>
    </row>
    <row r="69" spans="1:14" ht="12.75">
      <c r="A69" s="2" t="s">
        <v>43</v>
      </c>
      <c r="B69" s="30">
        <f>+Adótáblák!L168+Adótáblák!M168</f>
        <v>0</v>
      </c>
      <c r="C69" s="29">
        <f>+Adótáblák!N168</f>
        <v>0</v>
      </c>
      <c r="D69" s="30"/>
      <c r="E69" s="29"/>
      <c r="F69" s="30"/>
      <c r="G69" s="29"/>
      <c r="H69" s="30"/>
      <c r="I69" s="13">
        <f>+Adótáblák!N7</f>
        <v>0</v>
      </c>
      <c r="J69" s="54">
        <f>+Adótáblák!O7</f>
        <v>0</v>
      </c>
      <c r="K69" s="13">
        <f>+Adótáblák!N147</f>
        <v>0</v>
      </c>
      <c r="L69" s="13">
        <f>+Adótáblák!O147</f>
        <v>0</v>
      </c>
      <c r="M69" s="30">
        <f>+Adótáblák!N127</f>
        <v>0</v>
      </c>
      <c r="N69" s="54">
        <f>+Adótáblák!O127</f>
        <v>0</v>
      </c>
    </row>
    <row r="70" spans="1:14" ht="12.75">
      <c r="A70" s="187">
        <v>1</v>
      </c>
      <c r="B70" s="30"/>
      <c r="C70" s="29"/>
      <c r="D70" s="30"/>
      <c r="E70" s="29"/>
      <c r="F70" s="30"/>
      <c r="G70" s="29"/>
      <c r="H70" s="30">
        <f>+Adótáblák!M8</f>
        <v>0</v>
      </c>
      <c r="I70" s="13">
        <f>+Adótáblák!N8</f>
        <v>0</v>
      </c>
      <c r="J70" s="54">
        <f>+Adótáblák!O8</f>
        <v>0</v>
      </c>
      <c r="K70" s="13"/>
      <c r="L70" s="13">
        <f>+Adótáblák!O148</f>
        <v>0</v>
      </c>
      <c r="M70" s="30">
        <f>+Adótáblák!N128</f>
        <v>0</v>
      </c>
      <c r="N70" s="54">
        <f>+Adótáblák!O128</f>
        <v>0</v>
      </c>
    </row>
    <row r="71" spans="1:14" ht="12.75">
      <c r="A71" s="187">
        <v>2</v>
      </c>
      <c r="B71" s="30"/>
      <c r="C71" s="29"/>
      <c r="D71" s="30"/>
      <c r="E71" s="29"/>
      <c r="F71" s="30"/>
      <c r="G71" s="29"/>
      <c r="H71" s="30">
        <f>+Adótáblák!M9</f>
        <v>0</v>
      </c>
      <c r="I71" s="13">
        <f>+Adótáblák!N9</f>
        <v>0</v>
      </c>
      <c r="J71" s="54">
        <f>+Adótáblák!O9</f>
        <v>0</v>
      </c>
      <c r="K71" s="13"/>
      <c r="L71" s="13">
        <f>+Adótáblák!O149</f>
        <v>0</v>
      </c>
      <c r="M71" s="30">
        <f>+Adótáblák!N129</f>
        <v>0</v>
      </c>
      <c r="N71" s="54">
        <f>+Adótáblák!O129</f>
        <v>0</v>
      </c>
    </row>
    <row r="72" spans="1:14" ht="12.75">
      <c r="A72" s="187">
        <v>3</v>
      </c>
      <c r="B72" s="30"/>
      <c r="C72" s="29"/>
      <c r="D72" s="30"/>
      <c r="E72" s="29"/>
      <c r="F72" s="30"/>
      <c r="G72" s="29"/>
      <c r="H72" s="30">
        <f>+Adótáblák!M10</f>
        <v>0</v>
      </c>
      <c r="I72" s="13">
        <f>+Adótáblák!N10</f>
        <v>0</v>
      </c>
      <c r="J72" s="54">
        <f>+Adótáblák!O10</f>
        <v>0</v>
      </c>
      <c r="K72" s="13">
        <f>+Adótáblák!N150</f>
        <v>0</v>
      </c>
      <c r="L72" s="13">
        <f>+Adótáblák!O150</f>
        <v>0</v>
      </c>
      <c r="M72" s="30">
        <f>+Adótáblák!N130</f>
        <v>0</v>
      </c>
      <c r="N72" s="54">
        <f>+Adótáblák!O130</f>
        <v>0</v>
      </c>
    </row>
    <row r="73" spans="1:14" ht="12.75">
      <c r="A73" s="187">
        <v>4</v>
      </c>
      <c r="B73" s="30"/>
      <c r="C73" s="29"/>
      <c r="D73" s="30"/>
      <c r="E73" s="29"/>
      <c r="F73" s="30"/>
      <c r="G73" s="29"/>
      <c r="H73" s="30">
        <f>+Adótáblák!M11</f>
        <v>0</v>
      </c>
      <c r="I73" s="13">
        <f>+Adótáblák!N11</f>
        <v>0</v>
      </c>
      <c r="J73" s="54">
        <f>+Adótáblák!O11</f>
        <v>0</v>
      </c>
      <c r="K73" s="13"/>
      <c r="L73" s="13">
        <f>+Adótáblák!O151</f>
        <v>0</v>
      </c>
      <c r="M73" s="30">
        <f>+Adótáblák!N131</f>
        <v>0</v>
      </c>
      <c r="N73" s="54">
        <f>+Adótáblák!O131</f>
        <v>0</v>
      </c>
    </row>
    <row r="74" spans="1:14" ht="12.75">
      <c r="A74" s="187">
        <v>5</v>
      </c>
      <c r="B74" s="30"/>
      <c r="C74" s="29"/>
      <c r="D74" s="30"/>
      <c r="E74" s="29"/>
      <c r="F74" s="30"/>
      <c r="G74" s="29"/>
      <c r="H74" s="30">
        <f>+Adótáblák!M12</f>
        <v>0</v>
      </c>
      <c r="I74" s="13">
        <f>+Adótáblák!N12</f>
        <v>0</v>
      </c>
      <c r="J74" s="54">
        <f>+Adótáblák!O12</f>
        <v>0</v>
      </c>
      <c r="K74" s="13"/>
      <c r="L74" s="13">
        <f>+Adótáblák!O152</f>
        <v>0</v>
      </c>
      <c r="M74" s="30">
        <f>+Adótáblák!N132</f>
        <v>0</v>
      </c>
      <c r="N74" s="54">
        <f>+Adótáblák!O132</f>
        <v>0</v>
      </c>
    </row>
    <row r="75" spans="1:14" ht="12.75">
      <c r="A75" s="187">
        <v>6</v>
      </c>
      <c r="B75" s="30"/>
      <c r="C75" s="29"/>
      <c r="D75" s="30"/>
      <c r="E75" s="29"/>
      <c r="F75" s="30"/>
      <c r="G75" s="29"/>
      <c r="H75" s="30">
        <f>+Adótáblák!M13</f>
        <v>0</v>
      </c>
      <c r="I75" s="13">
        <f>+Adótáblák!N13</f>
        <v>0</v>
      </c>
      <c r="J75" s="54">
        <f>+Adótáblák!O13</f>
        <v>0</v>
      </c>
      <c r="K75" s="13">
        <f>+Adótáblák!N153</f>
        <v>0</v>
      </c>
      <c r="L75" s="13">
        <f>+Adótáblák!O153</f>
        <v>0</v>
      </c>
      <c r="M75" s="30">
        <f>+Adótáblák!N133</f>
        <v>0</v>
      </c>
      <c r="N75" s="54">
        <f>+Adótáblák!O133</f>
        <v>0</v>
      </c>
    </row>
    <row r="76" spans="1:14" ht="12.75">
      <c r="A76" s="187">
        <v>7</v>
      </c>
      <c r="B76" s="30"/>
      <c r="C76" s="29"/>
      <c r="D76" s="30"/>
      <c r="E76" s="29"/>
      <c r="F76" s="30"/>
      <c r="G76" s="29"/>
      <c r="H76" s="30">
        <f>+Adótáblák!M14</f>
        <v>0</v>
      </c>
      <c r="I76" s="13">
        <f>+Adótáblák!N14</f>
        <v>0</v>
      </c>
      <c r="J76" s="54">
        <f>+Adótáblák!O14</f>
        <v>0</v>
      </c>
      <c r="K76" s="13"/>
      <c r="L76" s="13">
        <f>+Adótáblák!O154</f>
        <v>0</v>
      </c>
      <c r="M76" s="30">
        <f>+Adótáblák!N134</f>
        <v>0</v>
      </c>
      <c r="N76" s="54">
        <f>+Adótáblák!O134</f>
        <v>0</v>
      </c>
    </row>
    <row r="77" spans="1:14" ht="12.75">
      <c r="A77" s="187">
        <v>8</v>
      </c>
      <c r="B77" s="30"/>
      <c r="C77" s="29"/>
      <c r="D77" s="30"/>
      <c r="E77" s="29"/>
      <c r="F77" s="30"/>
      <c r="G77" s="29"/>
      <c r="H77" s="30">
        <f>+Adótáblák!M15</f>
        <v>0</v>
      </c>
      <c r="I77" s="13">
        <f>+Adótáblák!N15</f>
        <v>0</v>
      </c>
      <c r="J77" s="54">
        <f>+Adótáblák!O15</f>
        <v>0</v>
      </c>
      <c r="K77" s="13"/>
      <c r="L77" s="13">
        <f>+Adótáblák!O155</f>
        <v>0</v>
      </c>
      <c r="M77" s="30">
        <f>+Adótáblák!N135</f>
        <v>0</v>
      </c>
      <c r="N77" s="54">
        <f>+Adótáblák!O135</f>
        <v>0</v>
      </c>
    </row>
    <row r="78" spans="1:14" ht="12.75">
      <c r="A78" s="187">
        <v>9</v>
      </c>
      <c r="B78" s="30"/>
      <c r="C78" s="29"/>
      <c r="D78" s="30"/>
      <c r="E78" s="29"/>
      <c r="F78" s="30"/>
      <c r="G78" s="29"/>
      <c r="H78" s="30">
        <f>+Adótáblák!M16</f>
        <v>0</v>
      </c>
      <c r="I78" s="13">
        <f>+Adótáblák!N16</f>
        <v>0</v>
      </c>
      <c r="J78" s="54">
        <f>+Adótáblák!O16</f>
        <v>0</v>
      </c>
      <c r="K78" s="13">
        <f>+Adótáblák!N156</f>
        <v>0</v>
      </c>
      <c r="L78" s="13">
        <f>+Adótáblák!O156</f>
        <v>0</v>
      </c>
      <c r="M78" s="30">
        <f>+Adótáblák!N136</f>
        <v>0</v>
      </c>
      <c r="N78" s="54">
        <f>+Adótáblák!O136</f>
        <v>0</v>
      </c>
    </row>
    <row r="79" spans="1:14" ht="12.75">
      <c r="A79" s="187">
        <v>10</v>
      </c>
      <c r="B79" s="30"/>
      <c r="C79" s="29"/>
      <c r="D79" s="30"/>
      <c r="E79" s="29"/>
      <c r="F79" s="30"/>
      <c r="G79" s="29"/>
      <c r="H79" s="30">
        <f>+Adótáblák!M17</f>
        <v>0</v>
      </c>
      <c r="I79" s="13">
        <f>+Adótáblák!N17</f>
        <v>0</v>
      </c>
      <c r="J79" s="54">
        <f>+Adótáblák!O17</f>
        <v>0</v>
      </c>
      <c r="K79" s="13"/>
      <c r="L79" s="13">
        <f>+Adótáblák!O157</f>
        <v>0</v>
      </c>
      <c r="M79" s="30">
        <f>+Adótáblák!N137</f>
        <v>0</v>
      </c>
      <c r="N79" s="54">
        <f>+Adótáblák!O137</f>
        <v>0</v>
      </c>
    </row>
    <row r="80" spans="1:14" ht="12.75">
      <c r="A80" s="187">
        <v>11</v>
      </c>
      <c r="B80" s="30"/>
      <c r="C80" s="29"/>
      <c r="D80" s="30"/>
      <c r="E80" s="29"/>
      <c r="F80" s="30"/>
      <c r="G80" s="29"/>
      <c r="H80" s="30">
        <f>+Adótáblák!M18</f>
        <v>0</v>
      </c>
      <c r="I80" s="13">
        <f>+Adótáblák!N18</f>
        <v>0</v>
      </c>
      <c r="J80" s="54">
        <f>+Adótáblák!O18</f>
        <v>0</v>
      </c>
      <c r="K80" s="13"/>
      <c r="L80" s="13">
        <f>+Adótáblák!O158</f>
        <v>0</v>
      </c>
      <c r="M80" s="30">
        <f>+Adótáblák!N138</f>
        <v>0</v>
      </c>
      <c r="N80" s="54">
        <f>+Adótáblák!O138</f>
        <v>0</v>
      </c>
    </row>
    <row r="81" spans="1:14" ht="12.75">
      <c r="A81" s="187">
        <v>12</v>
      </c>
      <c r="B81" s="30"/>
      <c r="C81" s="29"/>
      <c r="D81" s="30"/>
      <c r="E81" s="29"/>
      <c r="F81" s="30"/>
      <c r="G81" s="29"/>
      <c r="H81" s="30">
        <f>+Adótáblák!M19</f>
        <v>0</v>
      </c>
      <c r="I81" s="13">
        <f>+Adótáblák!N19</f>
        <v>0</v>
      </c>
      <c r="J81" s="54">
        <f>+Adótáblák!O19</f>
        <v>0</v>
      </c>
      <c r="K81" s="13">
        <f>+Adótáblák!N159</f>
        <v>0</v>
      </c>
      <c r="L81" s="13">
        <f>+Adótáblák!O159</f>
        <v>0</v>
      </c>
      <c r="M81" s="30">
        <f>+Adótáblák!N139</f>
        <v>0</v>
      </c>
      <c r="N81" s="54">
        <f>+Adótáblák!O139</f>
        <v>0</v>
      </c>
    </row>
    <row r="82" spans="1:14" ht="12.75">
      <c r="A82" s="2" t="s">
        <v>176</v>
      </c>
      <c r="B82" s="30"/>
      <c r="C82" s="29"/>
      <c r="D82" s="30"/>
      <c r="E82" s="29"/>
      <c r="F82" s="30"/>
      <c r="G82" s="29"/>
      <c r="H82" s="30">
        <f>+Adótáblák!M20</f>
        <v>0</v>
      </c>
      <c r="I82" s="13"/>
      <c r="J82" s="54"/>
      <c r="K82" s="13"/>
      <c r="L82" s="13"/>
      <c r="M82" s="30"/>
      <c r="N82" s="54"/>
    </row>
    <row r="83" spans="1:14" ht="13.5" thickBot="1">
      <c r="A83" s="161" t="s">
        <v>177</v>
      </c>
      <c r="B83" s="258">
        <f aca="true" t="shared" si="3" ref="B83:J83">SUM(B70:B82)</f>
        <v>0</v>
      </c>
      <c r="C83" s="269">
        <f t="shared" si="3"/>
        <v>0</v>
      </c>
      <c r="D83" s="258">
        <f t="shared" si="3"/>
        <v>0</v>
      </c>
      <c r="E83" s="269">
        <f t="shared" si="3"/>
        <v>0</v>
      </c>
      <c r="F83" s="258">
        <f t="shared" si="3"/>
        <v>0</v>
      </c>
      <c r="G83" s="269">
        <f t="shared" si="3"/>
        <v>0</v>
      </c>
      <c r="H83" s="258">
        <f t="shared" si="3"/>
        <v>0</v>
      </c>
      <c r="I83" s="259">
        <f t="shared" si="3"/>
        <v>0</v>
      </c>
      <c r="J83" s="271">
        <f t="shared" si="3"/>
        <v>0</v>
      </c>
      <c r="K83" s="258">
        <f>SUM(K70:K82)</f>
        <v>0</v>
      </c>
      <c r="L83" s="271">
        <f>SUM(L70:L82)</f>
        <v>0</v>
      </c>
      <c r="M83" s="258">
        <f>SUM(M70:M82)</f>
        <v>0</v>
      </c>
      <c r="N83" s="271">
        <f>SUM(N70:N82)</f>
        <v>0</v>
      </c>
    </row>
    <row r="84" spans="1:14" ht="13.5" thickBot="1">
      <c r="A84" s="265" t="s">
        <v>27</v>
      </c>
      <c r="B84" s="215"/>
      <c r="C84" s="270">
        <f>+B69-C69+B83-C83</f>
        <v>0</v>
      </c>
      <c r="D84" s="215"/>
      <c r="E84" s="270">
        <f>+D69-E69+D83-E83</f>
        <v>0</v>
      </c>
      <c r="F84" s="215"/>
      <c r="G84" s="270">
        <f>+F69-G69+F83-G83</f>
        <v>0</v>
      </c>
      <c r="H84" s="215"/>
      <c r="I84" s="215"/>
      <c r="J84" s="270">
        <f>+I69-J69+H83-J83</f>
        <v>0</v>
      </c>
      <c r="K84" s="215"/>
      <c r="L84" s="270">
        <f>+K69-L69+K83-L83</f>
        <v>0</v>
      </c>
      <c r="M84" s="215"/>
      <c r="N84" s="270">
        <f>+M69-N69+M83-N83</f>
        <v>0</v>
      </c>
    </row>
  </sheetData>
  <sheetProtection/>
  <mergeCells count="15">
    <mergeCell ref="M5:O5"/>
    <mergeCell ref="B26:D26"/>
    <mergeCell ref="E26:G26"/>
    <mergeCell ref="H26:J26"/>
    <mergeCell ref="D5:F5"/>
    <mergeCell ref="G5:I5"/>
    <mergeCell ref="J5:L5"/>
    <mergeCell ref="B5:C5"/>
    <mergeCell ref="K26:L26"/>
    <mergeCell ref="K67:L67"/>
    <mergeCell ref="B47:C47"/>
    <mergeCell ref="L47:N47"/>
    <mergeCell ref="F47:H47"/>
    <mergeCell ref="I47:K47"/>
    <mergeCell ref="H67:J67"/>
  </mergeCells>
  <conditionalFormatting sqref="N82 G82 E82 C82 H62 K62 N62 E62 C62 L41 O20 F20 I20 L20 D41 G41 J41 J82:L82">
    <cfRule type="cellIs" priority="1" dxfId="4" operator="notBetween" stopIfTrue="1">
      <formula>-499</formula>
      <formula>499</formula>
    </cfRule>
  </conditionalFormatting>
  <printOptions horizontalCentered="1" verticalCentered="1"/>
  <pageMargins left="0.17" right="0.15748031496062992" top="0.22" bottom="0.39" header="0.1968503937007874" footer="0.16"/>
  <pageSetup horizontalDpi="300" verticalDpi="300" orientation="landscape" paperSize="9" scale="95" r:id="rId1"/>
  <headerFooter alignWithMargins="0">
    <oddFooter>&amp;LK &amp;&amp; T&amp;R&amp;D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6.00390625" style="359" customWidth="1"/>
    <col min="2" max="4" width="13.75390625" style="359" customWidth="1"/>
    <col min="5" max="16384" width="9.125" style="359" customWidth="1"/>
  </cols>
  <sheetData>
    <row r="1" ht="15.75">
      <c r="A1" s="358" t="str">
        <f>Adatlap!$A$17</f>
        <v>Próba Kft.</v>
      </c>
    </row>
    <row r="2" spans="1:4" ht="15.75">
      <c r="A2" s="478" t="s">
        <v>364</v>
      </c>
      <c r="B2" s="479"/>
      <c r="C2" s="479"/>
      <c r="D2" s="479"/>
    </row>
    <row r="3" ht="6" customHeight="1" thickBot="1"/>
    <row r="4" spans="1:4" ht="30">
      <c r="A4" s="360" t="s">
        <v>59</v>
      </c>
      <c r="B4" s="361" t="s">
        <v>365</v>
      </c>
      <c r="C4" s="361" t="s">
        <v>60</v>
      </c>
      <c r="D4" s="362" t="s">
        <v>366</v>
      </c>
    </row>
    <row r="5" spans="1:4" ht="15">
      <c r="A5" s="363" t="s">
        <v>61</v>
      </c>
      <c r="B5" s="364"/>
      <c r="C5" s="364"/>
      <c r="D5" s="365">
        <f>B5+C5</f>
        <v>0</v>
      </c>
    </row>
    <row r="6" spans="1:4" ht="14.25">
      <c r="A6" s="366" t="s">
        <v>63</v>
      </c>
      <c r="B6" s="364"/>
      <c r="C6" s="364"/>
      <c r="D6" s="365">
        <f>B6+C6</f>
        <v>0</v>
      </c>
    </row>
    <row r="7" spans="1:4" ht="14.25">
      <c r="A7" s="366" t="s">
        <v>62</v>
      </c>
      <c r="B7" s="364"/>
      <c r="C7" s="364"/>
      <c r="D7" s="365">
        <f>B7+C7</f>
        <v>0</v>
      </c>
    </row>
    <row r="8" spans="1:4" ht="14.25">
      <c r="A8" s="366" t="s">
        <v>64</v>
      </c>
      <c r="B8" s="364">
        <f>SUM(B9:B13)</f>
        <v>0</v>
      </c>
      <c r="C8" s="364">
        <f>SUM(C9:C13)</f>
        <v>0</v>
      </c>
      <c r="D8" s="365">
        <f>SUM(D9:D13)</f>
        <v>0</v>
      </c>
    </row>
    <row r="9" spans="1:4" ht="14.25">
      <c r="A9" s="367" t="s">
        <v>162</v>
      </c>
      <c r="B9" s="364"/>
      <c r="C9" s="364"/>
      <c r="D9" s="365">
        <f>B9+C9</f>
        <v>0</v>
      </c>
    </row>
    <row r="10" spans="1:4" ht="14.25">
      <c r="A10" s="367" t="s">
        <v>163</v>
      </c>
      <c r="B10" s="364"/>
      <c r="C10" s="364"/>
      <c r="D10" s="365">
        <f aca="true" t="shared" si="0" ref="D10:D16">B10+C10</f>
        <v>0</v>
      </c>
    </row>
    <row r="11" spans="1:4" ht="14.25">
      <c r="A11" s="367" t="s">
        <v>164</v>
      </c>
      <c r="B11" s="364"/>
      <c r="C11" s="364"/>
      <c r="D11" s="365">
        <f t="shared" si="0"/>
        <v>0</v>
      </c>
    </row>
    <row r="12" spans="1:4" ht="14.25">
      <c r="A12" s="367" t="s">
        <v>165</v>
      </c>
      <c r="B12" s="364"/>
      <c r="C12" s="364"/>
      <c r="D12" s="365">
        <f t="shared" si="0"/>
        <v>0</v>
      </c>
    </row>
    <row r="13" spans="1:4" ht="14.25">
      <c r="A13" s="367" t="s">
        <v>166</v>
      </c>
      <c r="B13" s="364"/>
      <c r="C13" s="364"/>
      <c r="D13" s="365">
        <f t="shared" si="0"/>
        <v>0</v>
      </c>
    </row>
    <row r="14" spans="1:4" ht="14.25">
      <c r="A14" s="366" t="s">
        <v>65</v>
      </c>
      <c r="B14" s="364"/>
      <c r="C14" s="364"/>
      <c r="D14" s="365">
        <f t="shared" si="0"/>
        <v>0</v>
      </c>
    </row>
    <row r="15" spans="1:4" ht="14.25">
      <c r="A15" s="366" t="s">
        <v>66</v>
      </c>
      <c r="B15" s="364"/>
      <c r="C15" s="364"/>
      <c r="D15" s="365">
        <f t="shared" si="0"/>
        <v>0</v>
      </c>
    </row>
    <row r="16" spans="1:4" ht="14.25">
      <c r="A16" s="366" t="s">
        <v>67</v>
      </c>
      <c r="B16" s="364"/>
      <c r="C16" s="364">
        <f>+D40</f>
        <v>0</v>
      </c>
      <c r="D16" s="365">
        <f t="shared" si="0"/>
        <v>0</v>
      </c>
    </row>
    <row r="17" spans="1:4" ht="15">
      <c r="A17" s="368" t="s">
        <v>68</v>
      </c>
      <c r="B17" s="369">
        <f>B5+B6+B7-B8-B14-B15-B16</f>
        <v>0</v>
      </c>
      <c r="C17" s="369">
        <f>C5+C6+C7-C8-C14-C15-C16</f>
        <v>0</v>
      </c>
      <c r="D17" s="370">
        <f>D5+D6+D7-D8-D14-D15-D16</f>
        <v>0</v>
      </c>
    </row>
    <row r="18" spans="1:4" ht="14.25">
      <c r="A18" s="366" t="s">
        <v>347</v>
      </c>
      <c r="B18" s="364"/>
      <c r="C18" s="364"/>
      <c r="D18" s="365">
        <f>B18+C18</f>
        <v>0</v>
      </c>
    </row>
    <row r="19" spans="1:4" ht="14.25">
      <c r="A19" s="366" t="s">
        <v>108</v>
      </c>
      <c r="B19" s="364"/>
      <c r="C19" s="364"/>
      <c r="D19" s="365">
        <f>B19+C19</f>
        <v>0</v>
      </c>
    </row>
    <row r="20" spans="1:4" ht="15">
      <c r="A20" s="368" t="s">
        <v>348</v>
      </c>
      <c r="B20" s="369">
        <f>B18-B19</f>
        <v>0</v>
      </c>
      <c r="C20" s="369">
        <f>C18-C19</f>
        <v>0</v>
      </c>
      <c r="D20" s="370">
        <f>D18-D19</f>
        <v>0</v>
      </c>
    </row>
    <row r="21" spans="1:4" ht="15">
      <c r="A21" s="368" t="s">
        <v>69</v>
      </c>
      <c r="B21" s="369">
        <f>B17+B20</f>
        <v>0</v>
      </c>
      <c r="C21" s="369">
        <f>C17+C20</f>
        <v>0</v>
      </c>
      <c r="D21" s="370">
        <f>D17+D20</f>
        <v>0</v>
      </c>
    </row>
    <row r="22" spans="1:4" ht="14.25">
      <c r="A22" s="366" t="s">
        <v>70</v>
      </c>
      <c r="B22" s="364"/>
      <c r="C22" s="364"/>
      <c r="D22" s="365">
        <f>B22+C22</f>
        <v>0</v>
      </c>
    </row>
    <row r="23" spans="1:4" ht="14.25">
      <c r="A23" s="366" t="s">
        <v>109</v>
      </c>
      <c r="B23" s="364"/>
      <c r="C23" s="364"/>
      <c r="D23" s="365">
        <f>B23+C23</f>
        <v>0</v>
      </c>
    </row>
    <row r="24" spans="1:4" ht="15">
      <c r="A24" s="368" t="s">
        <v>71</v>
      </c>
      <c r="B24" s="369">
        <f>B22-B23</f>
        <v>0</v>
      </c>
      <c r="C24" s="369">
        <f>C22-C23</f>
        <v>0</v>
      </c>
      <c r="D24" s="370">
        <f>D22-D23</f>
        <v>0</v>
      </c>
    </row>
    <row r="25" spans="1:4" ht="15.75" thickBot="1">
      <c r="A25" s="371" t="s">
        <v>72</v>
      </c>
      <c r="B25" s="372">
        <f>B21+B24</f>
        <v>0</v>
      </c>
      <c r="C25" s="372">
        <f>C21+C24</f>
        <v>0</v>
      </c>
      <c r="D25" s="373">
        <f>D21+D24</f>
        <v>0</v>
      </c>
    </row>
    <row r="26" spans="1:4" ht="6.75" customHeight="1">
      <c r="A26" s="374"/>
      <c r="B26" s="375"/>
      <c r="C26" s="375"/>
      <c r="D26" s="375"/>
    </row>
    <row r="27" spans="1:4" ht="15.75" thickBot="1">
      <c r="A27" s="374" t="s">
        <v>19</v>
      </c>
      <c r="B27" s="375"/>
      <c r="C27" s="375"/>
      <c r="D27" s="375"/>
    </row>
    <row r="28" spans="1:4" ht="15">
      <c r="A28" s="376" t="s">
        <v>73</v>
      </c>
      <c r="B28" s="377"/>
      <c r="C28" s="378"/>
      <c r="D28" s="379"/>
    </row>
    <row r="29" spans="1:4" ht="15">
      <c r="A29" s="380" t="s">
        <v>390</v>
      </c>
      <c r="B29" s="381"/>
      <c r="C29" s="375"/>
      <c r="D29" s="382"/>
    </row>
    <row r="30" spans="1:4" ht="15">
      <c r="A30" s="380" t="s">
        <v>246</v>
      </c>
      <c r="B30" s="375"/>
      <c r="C30" s="375"/>
      <c r="D30" s="382">
        <f>+D25+D28-D29</f>
        <v>0</v>
      </c>
    </row>
    <row r="31" spans="1:4" ht="15">
      <c r="A31" s="380" t="s">
        <v>247</v>
      </c>
      <c r="B31" s="375"/>
      <c r="C31" s="375"/>
      <c r="D31" s="382">
        <f>+(D5+D7+D18+D22-D12-D13)*0.02</f>
        <v>0</v>
      </c>
    </row>
    <row r="32" spans="1:4" ht="15">
      <c r="A32" s="368" t="s">
        <v>346</v>
      </c>
      <c r="B32" s="383" t="s">
        <v>313</v>
      </c>
      <c r="C32" s="384">
        <f>+IF(AND(D30&lt;0,D31&lt;0),0,IF(D25&gt;D31,D30,IF(D30&gt;D31,D30,D31)))</f>
        <v>0</v>
      </c>
      <c r="D32" s="385">
        <f>+IF(B32="N",C32*0.16,IF(C32&lt;50000000,C32*0.1,5000000+(C32-50000000)*0.16))</f>
        <v>0</v>
      </c>
    </row>
    <row r="33" spans="1:4" ht="15">
      <c r="A33" s="380" t="s">
        <v>367</v>
      </c>
      <c r="B33" s="386"/>
      <c r="C33" s="386"/>
      <c r="D33" s="387">
        <f>+Adótáblák2!C22+Adótáblák2!C9-Adótáblák2!B9</f>
        <v>0</v>
      </c>
    </row>
    <row r="34" spans="1:4" ht="7.5" customHeight="1">
      <c r="A34" s="388"/>
      <c r="B34" s="386"/>
      <c r="C34" s="386"/>
      <c r="D34" s="389"/>
    </row>
    <row r="35" spans="1:4" ht="15.75" thickBot="1">
      <c r="A35" s="388" t="s">
        <v>231</v>
      </c>
      <c r="B35" s="386"/>
      <c r="C35" s="386"/>
      <c r="D35" s="389">
        <f>+D32-D33</f>
        <v>0</v>
      </c>
    </row>
    <row r="36" spans="1:4" ht="15.75" thickBot="1">
      <c r="A36" s="388" t="s">
        <v>368</v>
      </c>
      <c r="B36" s="386"/>
      <c r="C36" s="386"/>
      <c r="D36" s="390">
        <f>IF((D32*0.9-D33)&lt;B37,B37,(D32*0.9-D33))</f>
        <v>0</v>
      </c>
    </row>
    <row r="37" spans="1:4" ht="15.75" thickBot="1">
      <c r="A37" s="391" t="s">
        <v>74</v>
      </c>
      <c r="B37" s="392">
        <f>+Adótáblák2!B20</f>
        <v>0</v>
      </c>
      <c r="C37" s="393"/>
      <c r="D37" s="394"/>
    </row>
    <row r="38" spans="1:4" ht="4.5" customHeight="1">
      <c r="A38" s="395"/>
      <c r="B38" s="396"/>
      <c r="C38" s="396"/>
      <c r="D38" s="396"/>
    </row>
    <row r="39" spans="1:4" ht="15.75" thickBot="1">
      <c r="A39" s="395" t="s">
        <v>52</v>
      </c>
      <c r="B39" s="396"/>
      <c r="C39" s="396"/>
      <c r="D39" s="396"/>
    </row>
    <row r="40" spans="1:4" ht="15">
      <c r="A40" s="397" t="s">
        <v>52</v>
      </c>
      <c r="B40" s="398"/>
      <c r="C40" s="399"/>
      <c r="D40" s="400">
        <f>IF((D5-D12-D13-D9)&lt;0,0,(D5-D12-D13-D9)*0.02)</f>
        <v>0</v>
      </c>
    </row>
    <row r="41" spans="1:4" ht="14.25">
      <c r="A41" s="380" t="s">
        <v>367</v>
      </c>
      <c r="B41" s="401"/>
      <c r="C41" s="401"/>
      <c r="D41" s="382">
        <f>+Adótáblák2!M42+Adótáblák2!M29-Adótáblák2!L29</f>
        <v>0</v>
      </c>
    </row>
    <row r="42" spans="1:4" ht="6" customHeight="1">
      <c r="A42" s="388"/>
      <c r="B42" s="401"/>
      <c r="C42" s="401"/>
      <c r="D42" s="402"/>
    </row>
    <row r="43" spans="1:4" ht="15.75" thickBot="1">
      <c r="A43" s="388" t="s">
        <v>27</v>
      </c>
      <c r="B43" s="401"/>
      <c r="C43" s="401"/>
      <c r="D43" s="402">
        <f>+D40-D41</f>
        <v>0</v>
      </c>
    </row>
    <row r="44" spans="1:4" ht="15.75" thickBot="1">
      <c r="A44" s="403" t="s">
        <v>368</v>
      </c>
      <c r="B44" s="404"/>
      <c r="C44" s="404"/>
      <c r="D44" s="390">
        <f>IF(((D40*0.9)-D41)&lt;0,0,((D40*0.9)-D41))</f>
        <v>0</v>
      </c>
    </row>
    <row r="45" spans="1:4" ht="7.5" customHeight="1">
      <c r="A45" s="405"/>
      <c r="B45" s="406"/>
      <c r="C45" s="406"/>
      <c r="D45" s="406"/>
    </row>
    <row r="46" ht="5.25" customHeight="1" thickBot="1"/>
    <row r="47" spans="1:4" ht="15.75" thickBot="1">
      <c r="A47" s="407" t="s">
        <v>303</v>
      </c>
      <c r="B47" s="408"/>
      <c r="C47" s="408"/>
      <c r="D47" s="409">
        <f>+D25-D32</f>
        <v>0</v>
      </c>
    </row>
  </sheetData>
  <sheetProtection/>
  <mergeCells count="1">
    <mergeCell ref="A2:D2"/>
  </mergeCells>
  <printOptions horizontalCentered="1"/>
  <pageMargins left="0.15748031496062992" right="0.15748031496062992" top="0.984251968503937" bottom="0.984251968503937" header="0.5118110236220472" footer="0.31496062992125984"/>
  <pageSetup fitToHeight="1" fitToWidth="1" horizontalDpi="300" verticalDpi="300" orientation="portrait" paperSize="9" r:id="rId1"/>
  <headerFooter alignWithMargins="0">
    <oddFooter>&amp;LK &amp;&amp; T&amp;R&amp;D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6.00390625" style="359" customWidth="1"/>
    <col min="2" max="2" width="13.75390625" style="359" customWidth="1"/>
    <col min="3" max="3" width="14.875" style="359" customWidth="1"/>
    <col min="4" max="4" width="13.75390625" style="359" customWidth="1"/>
    <col min="5" max="16384" width="9.125" style="359" customWidth="1"/>
  </cols>
  <sheetData>
    <row r="1" ht="15.75">
      <c r="A1" s="358" t="str">
        <f>Adatlap!$A$17</f>
        <v>Próba Kft.</v>
      </c>
    </row>
    <row r="2" ht="15.75">
      <c r="A2" s="358"/>
    </row>
    <row r="3" spans="1:4" ht="15.75">
      <c r="A3" s="478" t="s">
        <v>369</v>
      </c>
      <c r="B3" s="479"/>
      <c r="C3" s="479"/>
      <c r="D3" s="479"/>
    </row>
    <row r="4" ht="15.75">
      <c r="A4" s="358"/>
    </row>
    <row r="5" ht="13.5" thickBot="1"/>
    <row r="6" spans="1:4" ht="30">
      <c r="A6" s="360" t="s">
        <v>59</v>
      </c>
      <c r="B6" s="361" t="str">
        <f>+A3</f>
        <v>2010. Dec. 31.</v>
      </c>
      <c r="C6" s="361" t="s">
        <v>167</v>
      </c>
      <c r="D6" s="362" t="str">
        <f>+A3</f>
        <v>2010. Dec. 31.</v>
      </c>
    </row>
    <row r="7" spans="1:4" ht="15">
      <c r="A7" s="363" t="s">
        <v>61</v>
      </c>
      <c r="B7" s="364"/>
      <c r="C7" s="364"/>
      <c r="D7" s="365">
        <f>B7+C7</f>
        <v>0</v>
      </c>
    </row>
    <row r="8" spans="1:4" ht="14.25">
      <c r="A8" s="366" t="s">
        <v>63</v>
      </c>
      <c r="B8" s="364"/>
      <c r="C8" s="364"/>
      <c r="D8" s="365">
        <f>B8+C8</f>
        <v>0</v>
      </c>
    </row>
    <row r="9" spans="1:4" ht="14.25">
      <c r="A9" s="366" t="s">
        <v>62</v>
      </c>
      <c r="B9" s="364"/>
      <c r="C9" s="364"/>
      <c r="D9" s="365">
        <f>B9+C9</f>
        <v>0</v>
      </c>
    </row>
    <row r="10" spans="1:4" ht="14.25">
      <c r="A10" s="366" t="s">
        <v>64</v>
      </c>
      <c r="B10" s="364">
        <f>SUM(B11:B15)</f>
        <v>0</v>
      </c>
      <c r="C10" s="364">
        <f>SUM(C11:C15)</f>
        <v>0</v>
      </c>
      <c r="D10" s="365">
        <f>SUM(D11:D15)</f>
        <v>0</v>
      </c>
    </row>
    <row r="11" spans="1:4" ht="14.25">
      <c r="A11" s="367" t="s">
        <v>162</v>
      </c>
      <c r="B11" s="364"/>
      <c r="C11" s="364"/>
      <c r="D11" s="365">
        <f aca="true" t="shared" si="0" ref="D11:D18">B11+C11</f>
        <v>0</v>
      </c>
    </row>
    <row r="12" spans="1:4" ht="14.25">
      <c r="A12" s="367" t="s">
        <v>163</v>
      </c>
      <c r="B12" s="364"/>
      <c r="C12" s="364"/>
      <c r="D12" s="365">
        <f t="shared" si="0"/>
        <v>0</v>
      </c>
    </row>
    <row r="13" spans="1:4" ht="14.25">
      <c r="A13" s="367" t="s">
        <v>164</v>
      </c>
      <c r="B13" s="364"/>
      <c r="C13" s="364"/>
      <c r="D13" s="365">
        <f t="shared" si="0"/>
        <v>0</v>
      </c>
    </row>
    <row r="14" spans="1:4" ht="14.25">
      <c r="A14" s="367" t="s">
        <v>165</v>
      </c>
      <c r="B14" s="364"/>
      <c r="C14" s="364"/>
      <c r="D14" s="365">
        <f t="shared" si="0"/>
        <v>0</v>
      </c>
    </row>
    <row r="15" spans="1:4" ht="14.25">
      <c r="A15" s="367" t="s">
        <v>166</v>
      </c>
      <c r="B15" s="364"/>
      <c r="C15" s="364"/>
      <c r="D15" s="365">
        <f t="shared" si="0"/>
        <v>0</v>
      </c>
    </row>
    <row r="16" spans="1:4" ht="14.25">
      <c r="A16" s="366" t="s">
        <v>65</v>
      </c>
      <c r="B16" s="364"/>
      <c r="C16" s="364"/>
      <c r="D16" s="365">
        <f t="shared" si="0"/>
        <v>0</v>
      </c>
    </row>
    <row r="17" spans="1:4" ht="14.25">
      <c r="A17" s="366" t="s">
        <v>66</v>
      </c>
      <c r="B17" s="364"/>
      <c r="C17" s="364"/>
      <c r="D17" s="365">
        <f t="shared" si="0"/>
        <v>0</v>
      </c>
    </row>
    <row r="18" spans="1:4" ht="14.25">
      <c r="A18" s="366" t="s">
        <v>67</v>
      </c>
      <c r="B18" s="364"/>
      <c r="C18" s="364">
        <f>D40</f>
        <v>0</v>
      </c>
      <c r="D18" s="365">
        <f t="shared" si="0"/>
        <v>0</v>
      </c>
    </row>
    <row r="19" spans="1:4" ht="15">
      <c r="A19" s="368" t="s">
        <v>68</v>
      </c>
      <c r="B19" s="369">
        <f>B7+B8+B9-B10-B16-B17-B18</f>
        <v>0</v>
      </c>
      <c r="C19" s="369">
        <f>C7+C8+C9-C10-C16-C17-C18</f>
        <v>0</v>
      </c>
      <c r="D19" s="370">
        <f>D7+D8+D9-D10-D16-D17-D18</f>
        <v>0</v>
      </c>
    </row>
    <row r="20" spans="1:4" ht="14.25">
      <c r="A20" s="366" t="s">
        <v>347</v>
      </c>
      <c r="B20" s="364"/>
      <c r="C20" s="364"/>
      <c r="D20" s="365">
        <f>B20+C20</f>
        <v>0</v>
      </c>
    </row>
    <row r="21" spans="1:4" ht="14.25">
      <c r="A21" s="366" t="s">
        <v>108</v>
      </c>
      <c r="B21" s="364"/>
      <c r="C21" s="364"/>
      <c r="D21" s="365">
        <f>B21+C21</f>
        <v>0</v>
      </c>
    </row>
    <row r="22" spans="1:4" ht="15">
      <c r="A22" s="368" t="s">
        <v>348</v>
      </c>
      <c r="B22" s="369">
        <f>B20-B21</f>
        <v>0</v>
      </c>
      <c r="C22" s="369">
        <f>C20-C21</f>
        <v>0</v>
      </c>
      <c r="D22" s="370">
        <f>D20-D21</f>
        <v>0</v>
      </c>
    </row>
    <row r="23" spans="1:4" ht="15">
      <c r="A23" s="368" t="s">
        <v>69</v>
      </c>
      <c r="B23" s="369">
        <f>B19+B22</f>
        <v>0</v>
      </c>
      <c r="C23" s="369">
        <f>C19+C22</f>
        <v>0</v>
      </c>
      <c r="D23" s="370">
        <f>D19+D22</f>
        <v>0</v>
      </c>
    </row>
    <row r="24" spans="1:4" ht="14.25">
      <c r="A24" s="366" t="s">
        <v>70</v>
      </c>
      <c r="B24" s="364"/>
      <c r="C24" s="364"/>
      <c r="D24" s="365">
        <f>B24+C24</f>
        <v>0</v>
      </c>
    </row>
    <row r="25" spans="1:4" ht="14.25">
      <c r="A25" s="366" t="s">
        <v>109</v>
      </c>
      <c r="B25" s="364"/>
      <c r="C25" s="364"/>
      <c r="D25" s="365">
        <f>B25+C25</f>
        <v>0</v>
      </c>
    </row>
    <row r="26" spans="1:4" ht="15">
      <c r="A26" s="368" t="s">
        <v>71</v>
      </c>
      <c r="B26" s="369">
        <f>B24-B25</f>
        <v>0</v>
      </c>
      <c r="C26" s="369">
        <f>C24-C25</f>
        <v>0</v>
      </c>
      <c r="D26" s="370">
        <f>D24-D25</f>
        <v>0</v>
      </c>
    </row>
    <row r="27" spans="1:4" ht="15.75" thickBot="1">
      <c r="A27" s="371" t="s">
        <v>72</v>
      </c>
      <c r="B27" s="372">
        <f>B23+B26</f>
        <v>0</v>
      </c>
      <c r="C27" s="372">
        <f>C23+C26</f>
        <v>0</v>
      </c>
      <c r="D27" s="373">
        <f>D23+D26</f>
        <v>0</v>
      </c>
    </row>
    <row r="28" spans="1:4" ht="7.5" customHeight="1">
      <c r="A28" s="374"/>
      <c r="B28" s="375"/>
      <c r="C28" s="375"/>
      <c r="D28" s="375"/>
    </row>
    <row r="29" spans="1:4" ht="15.75" thickBot="1">
      <c r="A29" s="374" t="s">
        <v>19</v>
      </c>
      <c r="B29" s="375"/>
      <c r="C29" s="375"/>
      <c r="D29" s="375"/>
    </row>
    <row r="30" spans="1:4" ht="15">
      <c r="A30" s="376" t="s">
        <v>73</v>
      </c>
      <c r="B30" s="377"/>
      <c r="C30" s="378"/>
      <c r="D30" s="379"/>
    </row>
    <row r="31" spans="1:4" ht="15">
      <c r="A31" s="380" t="s">
        <v>390</v>
      </c>
      <c r="B31" s="381"/>
      <c r="C31" s="375"/>
      <c r="D31" s="382"/>
    </row>
    <row r="32" spans="1:4" ht="15">
      <c r="A32" s="380" t="s">
        <v>246</v>
      </c>
      <c r="B32" s="375"/>
      <c r="C32" s="375"/>
      <c r="D32" s="382">
        <f>+D27+D30-D31</f>
        <v>0</v>
      </c>
    </row>
    <row r="33" spans="1:4" ht="15">
      <c r="A33" s="380" t="s">
        <v>247</v>
      </c>
      <c r="B33" s="375"/>
      <c r="C33" s="375"/>
      <c r="D33" s="382">
        <f>+(D7+D9+D20+D24-D14-D15)*0.02</f>
        <v>0</v>
      </c>
    </row>
    <row r="34" spans="1:4" ht="15">
      <c r="A34" s="368" t="s">
        <v>346</v>
      </c>
      <c r="B34" s="383" t="s">
        <v>313</v>
      </c>
      <c r="C34" s="384">
        <f>+IF(AND(D32&lt;0,D33&lt;0),0,IF(D27&gt;D33,D32,IF(D32&gt;D33,D32,D33)))</f>
        <v>0</v>
      </c>
      <c r="D34" s="385">
        <f>+IF(B34="N",C34*0.16,IF(C34&lt;50000000,C34*0.1,5000000+(C34-50000000)*0.16))</f>
        <v>0</v>
      </c>
    </row>
    <row r="35" spans="1:4" ht="15">
      <c r="A35" s="380" t="s">
        <v>370</v>
      </c>
      <c r="B35" s="386"/>
      <c r="C35" s="410"/>
      <c r="D35" s="387">
        <f>+Adótáblák2!C22+Adótáblák2!C9-Adótáblák2!B9</f>
        <v>0</v>
      </c>
    </row>
    <row r="36" spans="1:4" ht="15">
      <c r="A36" s="388"/>
      <c r="B36" s="386"/>
      <c r="C36" s="411" t="s">
        <v>371</v>
      </c>
      <c r="D36" s="387">
        <f>+Adótáblák2!C21</f>
        <v>0</v>
      </c>
    </row>
    <row r="37" spans="1:4" ht="15.75" thickBot="1">
      <c r="A37" s="403" t="s">
        <v>231</v>
      </c>
      <c r="B37" s="393"/>
      <c r="C37" s="393"/>
      <c r="D37" s="412">
        <f>+D34-D35-D36</f>
        <v>0</v>
      </c>
    </row>
    <row r="38" spans="1:4" ht="6" customHeight="1">
      <c r="A38" s="395"/>
      <c r="B38" s="396"/>
      <c r="C38" s="396"/>
      <c r="D38" s="396"/>
    </row>
    <row r="39" spans="1:4" ht="15.75" thickBot="1">
      <c r="A39" s="395" t="s">
        <v>52</v>
      </c>
      <c r="B39" s="396"/>
      <c r="C39" s="396"/>
      <c r="D39" s="396"/>
    </row>
    <row r="40" spans="1:4" ht="15">
      <c r="A40" s="397" t="s">
        <v>52</v>
      </c>
      <c r="B40" s="398"/>
      <c r="C40" s="399"/>
      <c r="D40" s="400">
        <f>IF((D7-D14-D15-D11)&lt;0,0,(D7-D14-D15-D11)*0.02)</f>
        <v>0</v>
      </c>
    </row>
    <row r="41" spans="1:4" ht="14.25">
      <c r="A41" s="380" t="s">
        <v>367</v>
      </c>
      <c r="B41" s="401"/>
      <c r="C41" s="401"/>
      <c r="D41" s="382">
        <f>+Adótáblák2!M42+Adótáblák2!M29-Adótáblák2!L29</f>
        <v>0</v>
      </c>
    </row>
    <row r="42" spans="1:4" ht="15.75" thickBot="1">
      <c r="A42" s="388"/>
      <c r="B42" s="401"/>
      <c r="C42" s="401"/>
      <c r="D42" s="402"/>
    </row>
    <row r="43" spans="1:4" ht="15.75" thickBot="1">
      <c r="A43" s="403" t="s">
        <v>27</v>
      </c>
      <c r="B43" s="404"/>
      <c r="C43" s="404"/>
      <c r="D43" s="390">
        <f>+D40-D41</f>
        <v>0</v>
      </c>
    </row>
    <row r="44" spans="1:4" ht="6.75" customHeight="1">
      <c r="A44" s="405"/>
      <c r="B44" s="406"/>
      <c r="C44" s="406"/>
      <c r="D44" s="406"/>
    </row>
    <row r="45" ht="13.5" thickBot="1"/>
    <row r="46" spans="1:4" ht="15.75" thickBot="1">
      <c r="A46" s="407" t="s">
        <v>303</v>
      </c>
      <c r="B46" s="408"/>
      <c r="C46" s="408"/>
      <c r="D46" s="409">
        <f>+D27-D34</f>
        <v>0</v>
      </c>
    </row>
  </sheetData>
  <sheetProtection/>
  <mergeCells count="1">
    <mergeCell ref="A3:D3"/>
  </mergeCells>
  <printOptions horizontalCentered="1"/>
  <pageMargins left="0.15748031496062992" right="0.15748031496062992" top="0.984251968503937" bottom="0.984251968503937" header="0.5118110236220472" footer="0.32"/>
  <pageSetup horizontalDpi="300" verticalDpi="300" orientation="portrait" paperSize="9" r:id="rId1"/>
  <headerFooter alignWithMargins="0">
    <oddFooter>&amp;LK &amp;&amp; T&amp;R&amp;D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7.75390625" style="0" customWidth="1"/>
    <col min="3" max="3" width="40.00390625" style="0" customWidth="1"/>
    <col min="4" max="4" width="10.875" style="0" customWidth="1"/>
    <col min="5" max="5" width="9.125" style="16" customWidth="1"/>
  </cols>
  <sheetData>
    <row r="1" ht="15.75">
      <c r="A1" s="11" t="str">
        <f>Adatlap!$A$17</f>
        <v>Próba Kft.</v>
      </c>
    </row>
    <row r="2" ht="15.75">
      <c r="A2" s="11"/>
    </row>
    <row r="4" spans="1:5" ht="15.75">
      <c r="A4" s="467" t="s">
        <v>372</v>
      </c>
      <c r="B4" s="448"/>
      <c r="C4" s="448"/>
      <c r="D4" s="448"/>
      <c r="E4" s="448"/>
    </row>
    <row r="6" ht="12.75">
      <c r="D6" s="8" t="s">
        <v>107</v>
      </c>
    </row>
    <row r="7" ht="12.75">
      <c r="D7" s="8"/>
    </row>
    <row r="8" spans="2:4" ht="12.75">
      <c r="B8" t="s">
        <v>75</v>
      </c>
      <c r="C8" s="68" t="s">
        <v>72</v>
      </c>
      <c r="D8" s="216"/>
    </row>
    <row r="9" spans="3:4" ht="12.75">
      <c r="C9" s="68" t="s">
        <v>387</v>
      </c>
      <c r="D9" s="216"/>
    </row>
    <row r="10" spans="3:4" ht="12.75">
      <c r="C10" s="68" t="s">
        <v>349</v>
      </c>
      <c r="D10" s="216"/>
    </row>
    <row r="11" ht="12.75">
      <c r="D11" s="16"/>
    </row>
    <row r="12" spans="2:4" ht="12.75">
      <c r="B12" s="7" t="s">
        <v>76</v>
      </c>
      <c r="D12" s="16"/>
    </row>
    <row r="13" spans="2:4" ht="12.75">
      <c r="B13" s="69"/>
      <c r="C13" t="s">
        <v>77</v>
      </c>
      <c r="D13" s="216"/>
    </row>
    <row r="14" spans="2:4" ht="12.75">
      <c r="B14" s="69"/>
      <c r="C14" t="s">
        <v>78</v>
      </c>
      <c r="D14" s="216"/>
    </row>
    <row r="15" spans="2:4" ht="12.75">
      <c r="B15" s="10"/>
      <c r="C15" t="s">
        <v>79</v>
      </c>
      <c r="D15" s="230"/>
    </row>
    <row r="16" spans="3:4" ht="12.75">
      <c r="C16" s="71" t="s">
        <v>34</v>
      </c>
      <c r="D16" s="72">
        <f>SUM(D13:D15)</f>
        <v>0</v>
      </c>
    </row>
    <row r="17" spans="3:4" ht="12.75">
      <c r="C17" s="73"/>
      <c r="D17" s="72"/>
    </row>
    <row r="18" spans="2:4" ht="12.75">
      <c r="B18" s="7" t="s">
        <v>80</v>
      </c>
      <c r="D18" s="16"/>
    </row>
    <row r="19" spans="2:4" ht="12.75">
      <c r="B19" s="10"/>
      <c r="C19" t="s">
        <v>78</v>
      </c>
      <c r="D19" s="216"/>
    </row>
    <row r="20" spans="2:4" ht="12.75">
      <c r="B20" s="10"/>
      <c r="C20" t="s">
        <v>81</v>
      </c>
      <c r="D20" s="216"/>
    </row>
    <row r="21" spans="2:4" ht="12.75">
      <c r="B21" s="10"/>
      <c r="C21" t="s">
        <v>79</v>
      </c>
      <c r="D21" s="216"/>
    </row>
    <row r="22" spans="3:4" ht="12.75">
      <c r="C22" s="71" t="s">
        <v>34</v>
      </c>
      <c r="D22" s="72">
        <f>SUM(D19:D21)</f>
        <v>0</v>
      </c>
    </row>
    <row r="23" ht="12.75">
      <c r="D23" s="72"/>
    </row>
    <row r="24" spans="3:4" ht="12.75">
      <c r="C24" t="s">
        <v>248</v>
      </c>
      <c r="D24" s="231">
        <f>+D8-D16+D22</f>
        <v>0</v>
      </c>
    </row>
    <row r="25" spans="3:4" ht="12.75">
      <c r="C25" t="s">
        <v>249</v>
      </c>
      <c r="D25" s="231">
        <f>+(D9-D10)*0.02</f>
        <v>0</v>
      </c>
    </row>
    <row r="26" ht="12.75">
      <c r="D26" s="72"/>
    </row>
    <row r="27" spans="3:4" ht="12.75">
      <c r="C27" t="s">
        <v>82</v>
      </c>
      <c r="D27" s="16">
        <f>IF(AND(D24&lt;0,D25&lt;0),0,IF(D8&gt;D25,D24,IF(D24&gt;D25,D24,D25)))</f>
        <v>0</v>
      </c>
    </row>
    <row r="28" spans="3:4" ht="12.75">
      <c r="C28" t="s">
        <v>83</v>
      </c>
      <c r="D28" s="16">
        <f>IF(D27&gt;0,D27*0.19,0)</f>
        <v>0</v>
      </c>
    </row>
    <row r="29" ht="12.75">
      <c r="D29" s="16"/>
    </row>
    <row r="30" spans="2:4" ht="12.75">
      <c r="B30" s="10"/>
      <c r="C30" t="s">
        <v>168</v>
      </c>
      <c r="D30" s="16">
        <f>SUM(D31:D32)</f>
        <v>0</v>
      </c>
    </row>
    <row r="31" spans="2:4" ht="12.75">
      <c r="B31" s="10"/>
      <c r="C31" t="s">
        <v>250</v>
      </c>
      <c r="D31" s="216"/>
    </row>
    <row r="32" spans="2:4" ht="12.75">
      <c r="B32" s="10"/>
      <c r="C32" t="s">
        <v>79</v>
      </c>
      <c r="D32" s="216"/>
    </row>
    <row r="33" ht="12.75">
      <c r="D33" s="16"/>
    </row>
    <row r="34" spans="2:4" ht="12.75">
      <c r="B34" s="74" t="s">
        <v>373</v>
      </c>
      <c r="C34" s="74"/>
      <c r="D34" s="75">
        <f>D28-D30</f>
        <v>0</v>
      </c>
    </row>
    <row r="35" ht="12.75">
      <c r="D35" s="16"/>
    </row>
    <row r="36" spans="2:4" ht="12.75">
      <c r="B36" s="74" t="s">
        <v>374</v>
      </c>
      <c r="C36" s="74"/>
      <c r="D36" s="75">
        <f>+D37+D38</f>
        <v>0</v>
      </c>
    </row>
    <row r="37" spans="2:5" ht="12.75">
      <c r="B37" s="74"/>
      <c r="C37" s="233">
        <v>0.1</v>
      </c>
      <c r="D37" s="75">
        <f>+E37*0.1</f>
        <v>0</v>
      </c>
      <c r="E37" s="16">
        <f>+IF(D43="IGEN",IF(D27&lt;50000,D27,50000),0)</f>
        <v>0</v>
      </c>
    </row>
    <row r="38" spans="2:5" ht="12.75">
      <c r="B38" s="74"/>
      <c r="C38" s="233">
        <v>0.19</v>
      </c>
      <c r="D38" s="75">
        <f>+E38*0.19</f>
        <v>0</v>
      </c>
      <c r="E38" s="16">
        <f>+D27-E37</f>
        <v>0</v>
      </c>
    </row>
    <row r="39" spans="3:4" ht="12.75">
      <c r="C39" s="232"/>
      <c r="D39" s="16"/>
    </row>
    <row r="40" spans="2:4" ht="12.75">
      <c r="B40" t="s">
        <v>375</v>
      </c>
      <c r="D40" s="216">
        <f>+Feltöltéstény!D35/1000+Feltöltéstény!D36/1000</f>
        <v>0</v>
      </c>
    </row>
    <row r="41" spans="2:4" ht="12.75">
      <c r="B41" t="s">
        <v>18</v>
      </c>
      <c r="D41" s="234">
        <f>+MIN(D34:D36)-D40</f>
        <v>0</v>
      </c>
    </row>
    <row r="42" ht="12.75">
      <c r="D42" s="16"/>
    </row>
    <row r="43" spans="1:4" ht="12.75">
      <c r="A43" t="s">
        <v>251</v>
      </c>
      <c r="D43" s="236" t="str">
        <f>+IF(AND(D50&gt;0.99,D52&gt;D51,D47="igen",D48="igen",D49="igen",D54="igen"),"IGEN","NEM")</f>
        <v>NEM</v>
      </c>
    </row>
    <row r="44" spans="3:4" ht="12.75">
      <c r="C44" t="s">
        <v>252</v>
      </c>
      <c r="D44" s="16"/>
    </row>
    <row r="45" spans="3:4" ht="12.75">
      <c r="C45" t="s">
        <v>305</v>
      </c>
      <c r="D45" s="16"/>
    </row>
    <row r="46" ht="8.25" customHeight="1">
      <c r="D46" s="16"/>
    </row>
    <row r="47" spans="3:4" ht="12.75">
      <c r="C47" t="s">
        <v>388</v>
      </c>
      <c r="D47" s="16" t="str">
        <f>+IF(D24&gt;=D25,"igen","nem")</f>
        <v>igen</v>
      </c>
    </row>
    <row r="48" spans="3:4" ht="12.75">
      <c r="C48" t="s">
        <v>389</v>
      </c>
      <c r="D48" s="216" t="s">
        <v>306</v>
      </c>
    </row>
    <row r="49" spans="3:4" ht="12.75">
      <c r="C49" t="s">
        <v>312</v>
      </c>
      <c r="D49" s="216" t="s">
        <v>306</v>
      </c>
    </row>
    <row r="50" spans="3:4" ht="12.75">
      <c r="C50" t="s">
        <v>253</v>
      </c>
      <c r="D50" s="216"/>
    </row>
    <row r="51" spans="3:4" ht="12.75">
      <c r="C51" t="s">
        <v>254</v>
      </c>
      <c r="D51" s="16">
        <f>+D50*73500*12*2</f>
        <v>0</v>
      </c>
    </row>
    <row r="52" spans="3:4" ht="12.75">
      <c r="C52" t="s">
        <v>255</v>
      </c>
      <c r="D52" s="216"/>
    </row>
    <row r="53" ht="12.75">
      <c r="D53" s="16"/>
    </row>
    <row r="54" spans="3:4" ht="12.75">
      <c r="C54" t="s">
        <v>308</v>
      </c>
      <c r="D54" s="216" t="s">
        <v>306</v>
      </c>
    </row>
    <row r="55" spans="3:4" ht="12.75">
      <c r="C55" s="235" t="s">
        <v>307</v>
      </c>
      <c r="D55" s="235">
        <f>+D37*0.6</f>
        <v>0</v>
      </c>
    </row>
  </sheetData>
  <sheetProtection/>
  <mergeCells count="1">
    <mergeCell ref="A4:E4"/>
  </mergeCells>
  <printOptions horizontalCentered="1"/>
  <pageMargins left="0.7874015748031497" right="0.7874015748031497" top="0.984251968503937" bottom="0.984251968503937" header="0.5118110236220472" footer="0.37"/>
  <pageSetup horizontalDpi="300" verticalDpi="300" orientation="portrait" paperSize="9" r:id="rId1"/>
  <headerFooter alignWithMargins="0">
    <oddFooter>&amp;LK &amp;&amp; T&amp;R&amp;D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42.875" style="0" customWidth="1"/>
    <col min="4" max="5" width="13.75390625" style="0" customWidth="1"/>
  </cols>
  <sheetData>
    <row r="1" ht="15.75">
      <c r="A1" s="11" t="str">
        <f>Adatlap!$A$17</f>
        <v>Próba Kft.</v>
      </c>
    </row>
    <row r="2" ht="15.75">
      <c r="B2" s="11"/>
    </row>
    <row r="3" spans="2:5" ht="12.75">
      <c r="B3" s="76"/>
      <c r="C3" s="76"/>
      <c r="D3" s="76"/>
      <c r="E3" s="76"/>
    </row>
    <row r="4" spans="1:6" ht="15.75">
      <c r="A4" s="467" t="s">
        <v>376</v>
      </c>
      <c r="B4" s="445"/>
      <c r="C4" s="445"/>
      <c r="D4" s="445"/>
      <c r="E4" s="445"/>
      <c r="F4" s="445"/>
    </row>
    <row r="5" spans="1:6" ht="15.75">
      <c r="A5" s="91"/>
      <c r="B5" s="88"/>
      <c r="C5" s="88"/>
      <c r="D5" s="88"/>
      <c r="E5" s="88"/>
      <c r="F5" s="88"/>
    </row>
    <row r="6" spans="2:5" ht="12.75">
      <c r="B6" s="76"/>
      <c r="C6" s="77"/>
      <c r="D6" s="78"/>
      <c r="E6" s="106" t="s">
        <v>104</v>
      </c>
    </row>
    <row r="7" spans="2:6" ht="15" customHeight="1">
      <c r="B7" s="92"/>
      <c r="C7" s="92" t="s">
        <v>88</v>
      </c>
      <c r="D7" s="93"/>
      <c r="E7" s="94" t="s">
        <v>84</v>
      </c>
      <c r="F7" s="3"/>
    </row>
    <row r="8" spans="2:6" ht="15" customHeight="1">
      <c r="B8" s="77"/>
      <c r="C8" s="92"/>
      <c r="D8" s="95"/>
      <c r="E8" s="94"/>
      <c r="F8" s="3"/>
    </row>
    <row r="9" spans="2:6" ht="15" customHeight="1">
      <c r="B9" s="77"/>
      <c r="C9" s="96" t="s">
        <v>61</v>
      </c>
      <c r="D9" s="97"/>
      <c r="E9" s="98"/>
      <c r="F9" s="3"/>
    </row>
    <row r="10" spans="2:6" ht="15" customHeight="1">
      <c r="B10" s="77"/>
      <c r="C10" s="96"/>
      <c r="D10" s="97"/>
      <c r="E10" s="98"/>
      <c r="F10" s="3"/>
    </row>
    <row r="11" spans="2:6" ht="15" customHeight="1">
      <c r="B11" s="77"/>
      <c r="C11" s="79" t="s">
        <v>85</v>
      </c>
      <c r="D11" s="99"/>
      <c r="E11" s="100">
        <f>SUM(E9:E10)</f>
        <v>0</v>
      </c>
      <c r="F11" s="3"/>
    </row>
    <row r="12" spans="2:6" ht="15" customHeight="1">
      <c r="B12" s="77"/>
      <c r="C12" s="79"/>
      <c r="D12" s="99"/>
      <c r="E12" s="100"/>
      <c r="F12" s="3"/>
    </row>
    <row r="13" spans="2:6" ht="15" customHeight="1">
      <c r="B13" s="77"/>
      <c r="C13" s="79" t="s">
        <v>86</v>
      </c>
      <c r="D13" s="100"/>
      <c r="E13" s="100">
        <f>SUM(E14:E16)</f>
        <v>0</v>
      </c>
      <c r="F13" s="3"/>
    </row>
    <row r="14" spans="2:6" ht="15" customHeight="1">
      <c r="B14" s="77"/>
      <c r="C14" s="77" t="s">
        <v>215</v>
      </c>
      <c r="D14" s="99"/>
      <c r="E14" s="99"/>
      <c r="F14" s="3"/>
    </row>
    <row r="15" spans="2:6" ht="15" customHeight="1">
      <c r="B15" s="77"/>
      <c r="C15" s="77" t="s">
        <v>169</v>
      </c>
      <c r="D15" s="99"/>
      <c r="E15" s="99"/>
      <c r="F15" s="3"/>
    </row>
    <row r="16" spans="2:6" ht="15" customHeight="1">
      <c r="B16" s="77"/>
      <c r="C16" s="77" t="s">
        <v>170</v>
      </c>
      <c r="D16" s="99"/>
      <c r="E16" s="99"/>
      <c r="F16" s="3"/>
    </row>
    <row r="17" spans="2:6" ht="15" customHeight="1">
      <c r="B17" s="77"/>
      <c r="C17" s="77"/>
      <c r="D17" s="99"/>
      <c r="E17" s="99"/>
      <c r="F17" s="3"/>
    </row>
    <row r="18" spans="2:6" ht="15" customHeight="1">
      <c r="B18" s="77"/>
      <c r="C18" s="79" t="s">
        <v>87</v>
      </c>
      <c r="D18" s="101"/>
      <c r="E18" s="101">
        <f>E11-E13</f>
        <v>0</v>
      </c>
      <c r="F18" s="3"/>
    </row>
    <row r="19" spans="2:6" ht="15" customHeight="1">
      <c r="B19" s="77"/>
      <c r="C19" s="79"/>
      <c r="D19" s="101"/>
      <c r="E19" s="101"/>
      <c r="F19" s="3"/>
    </row>
    <row r="20" spans="2:6" ht="15" customHeight="1">
      <c r="B20" s="77"/>
      <c r="C20" s="79" t="s">
        <v>139</v>
      </c>
      <c r="D20" s="101"/>
      <c r="E20" s="101">
        <f>E18*2%</f>
        <v>0</v>
      </c>
      <c r="F20" s="3"/>
    </row>
    <row r="21" spans="2:6" ht="15" customHeight="1">
      <c r="B21" s="77"/>
      <c r="C21" s="77"/>
      <c r="D21" s="15"/>
      <c r="E21" s="15"/>
      <c r="F21" s="3"/>
    </row>
    <row r="22" spans="2:6" ht="15" customHeight="1">
      <c r="B22" s="77"/>
      <c r="C22" s="79" t="s">
        <v>367</v>
      </c>
      <c r="D22" s="102" t="str">
        <f>IF(E22=0," ",IF(E20&gt;E22,E22/E20,1))</f>
        <v> </v>
      </c>
      <c r="E22" s="15">
        <f>+Adótáblák2!M42+Adótáblák2!M29-Adótáblák2!L29</f>
        <v>0</v>
      </c>
      <c r="F22" s="3"/>
    </row>
    <row r="23" spans="2:6" ht="15" customHeight="1">
      <c r="B23" s="77"/>
      <c r="C23" s="79"/>
      <c r="D23" s="15"/>
      <c r="E23" s="15"/>
      <c r="F23" s="3"/>
    </row>
    <row r="24" spans="2:6" ht="15" customHeight="1">
      <c r="B24" s="77"/>
      <c r="C24" s="79" t="s">
        <v>27</v>
      </c>
      <c r="D24" s="15"/>
      <c r="E24" s="100">
        <f>E20-E22</f>
        <v>0</v>
      </c>
      <c r="F24" s="3"/>
    </row>
    <row r="25" spans="2:6" ht="12.75">
      <c r="B25" s="103"/>
      <c r="C25" s="104"/>
      <c r="D25" s="105"/>
      <c r="E25" s="105"/>
      <c r="F25" s="3"/>
    </row>
    <row r="26" spans="2:6" ht="12.75">
      <c r="B26" s="3"/>
      <c r="C26" s="3"/>
      <c r="D26" s="3"/>
      <c r="E26" s="3"/>
      <c r="F26" s="3"/>
    </row>
  </sheetData>
  <sheetProtection/>
  <mergeCells count="1">
    <mergeCell ref="A4:F4"/>
  </mergeCells>
  <printOptions horizontalCentered="1"/>
  <pageMargins left="0.17" right="0.17" top="0.984251968503937" bottom="0.984251968503937" header="0.5118110236220472" footer="0.39"/>
  <pageSetup horizontalDpi="300" verticalDpi="300" orientation="portrait" paperSize="9" r:id="rId1"/>
  <headerFooter alignWithMargins="0">
    <oddFooter>&amp;LK &amp;&amp; T&amp;R&amp;D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76" customWidth="1"/>
    <col min="2" max="2" width="8.75390625" style="76" customWidth="1"/>
    <col min="3" max="3" width="9.125" style="76" customWidth="1"/>
    <col min="4" max="4" width="4.75390625" style="76" customWidth="1"/>
    <col min="5" max="5" width="9.125" style="76" customWidth="1"/>
    <col min="6" max="6" width="4.75390625" style="76" customWidth="1"/>
    <col min="7" max="7" width="10.75390625" style="76" customWidth="1"/>
    <col min="8" max="8" width="4.75390625" style="76" customWidth="1"/>
    <col min="9" max="9" width="9.125" style="76" customWidth="1"/>
    <col min="10" max="10" width="4.75390625" style="76" customWidth="1"/>
    <col min="11" max="11" width="9.375" style="76" customWidth="1"/>
    <col min="12" max="12" width="4.875" style="76" customWidth="1"/>
    <col min="13" max="13" width="10.75390625" style="76" customWidth="1"/>
    <col min="14" max="16384" width="9.125" style="76" customWidth="1"/>
  </cols>
  <sheetData>
    <row r="1" ht="15.75">
      <c r="M1" s="109" t="str">
        <f>Adatlap!$A$17</f>
        <v>Próba Kft.</v>
      </c>
    </row>
    <row r="2" spans="1:13" ht="15.75">
      <c r="A2" s="467" t="s">
        <v>103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</row>
    <row r="3" spans="1:13" ht="12.75">
      <c r="A3" s="8"/>
      <c r="B3" s="8"/>
      <c r="C3" s="8"/>
      <c r="D3" s="8"/>
      <c r="E3" s="8"/>
      <c r="F3" s="8"/>
      <c r="M3" s="85" t="s">
        <v>107</v>
      </c>
    </row>
    <row r="4" spans="1:13" ht="12.75">
      <c r="A4" s="8" t="s">
        <v>15</v>
      </c>
      <c r="B4" s="8"/>
      <c r="C4" s="8" t="s">
        <v>16</v>
      </c>
      <c r="D4" s="8"/>
      <c r="E4" s="8" t="s">
        <v>17</v>
      </c>
      <c r="F4" s="8"/>
      <c r="G4" s="8" t="s">
        <v>18</v>
      </c>
      <c r="I4" s="8" t="s">
        <v>16</v>
      </c>
      <c r="J4" s="8"/>
      <c r="K4" s="8" t="s">
        <v>17</v>
      </c>
      <c r="L4" s="8"/>
      <c r="M4" s="8" t="s">
        <v>18</v>
      </c>
    </row>
    <row r="5" spans="1:13" ht="6" customHeight="1">
      <c r="A5" s="8"/>
      <c r="B5" s="8"/>
      <c r="C5" s="8"/>
      <c r="D5" s="8"/>
      <c r="E5" s="8"/>
      <c r="F5" s="8"/>
      <c r="G5" s="8"/>
      <c r="I5" s="8"/>
      <c r="J5" s="8"/>
      <c r="K5" s="8"/>
      <c r="L5" s="8"/>
      <c r="M5" s="8"/>
    </row>
    <row r="6" spans="3:13" ht="12.75">
      <c r="C6" s="480" t="s">
        <v>89</v>
      </c>
      <c r="D6" s="481"/>
      <c r="E6" s="481"/>
      <c r="F6" s="481"/>
      <c r="G6" s="481"/>
      <c r="I6" s="480" t="s">
        <v>90</v>
      </c>
      <c r="J6" s="480"/>
      <c r="K6" s="480"/>
      <c r="L6" s="480"/>
      <c r="M6" s="480"/>
    </row>
    <row r="7" spans="1:13" ht="12.75">
      <c r="A7" s="76">
        <v>2004</v>
      </c>
      <c r="G7" s="80">
        <v>0</v>
      </c>
      <c r="K7" s="81"/>
      <c r="M7" s="80">
        <v>0</v>
      </c>
    </row>
    <row r="8" spans="1:13" ht="12.75">
      <c r="A8" s="76">
        <v>2005</v>
      </c>
      <c r="G8" s="80">
        <f>-C8+E8+G7</f>
        <v>0</v>
      </c>
      <c r="K8" s="81"/>
      <c r="M8" s="80">
        <f aca="true" t="shared" si="0" ref="M8:M13">-I8+K8+M7</f>
        <v>0</v>
      </c>
    </row>
    <row r="9" spans="1:13" ht="12.75">
      <c r="A9" s="76">
        <v>2006</v>
      </c>
      <c r="G9" s="80">
        <f>-C9+E9+G8</f>
        <v>0</v>
      </c>
      <c r="M9" s="80">
        <f t="shared" si="0"/>
        <v>0</v>
      </c>
    </row>
    <row r="10" spans="1:13" ht="12.75">
      <c r="A10" s="76">
        <v>2007</v>
      </c>
      <c r="G10" s="80">
        <f>-B10-C10+E10+G9</f>
        <v>0</v>
      </c>
      <c r="M10" s="80">
        <f t="shared" si="0"/>
        <v>0</v>
      </c>
    </row>
    <row r="11" spans="1:13" ht="12.75">
      <c r="A11" s="76">
        <v>2008</v>
      </c>
      <c r="G11" s="80">
        <f>-B11-C11+E11+G10</f>
        <v>0</v>
      </c>
      <c r="I11" s="70"/>
      <c r="J11" s="70"/>
      <c r="K11" s="70"/>
      <c r="M11" s="80">
        <f t="shared" si="0"/>
        <v>0</v>
      </c>
    </row>
    <row r="12" spans="1:13" ht="12.75">
      <c r="A12" s="76">
        <v>2009</v>
      </c>
      <c r="G12" s="80">
        <f>-B12-C12+E12+G11</f>
        <v>0</v>
      </c>
      <c r="I12" s="70"/>
      <c r="J12" s="70"/>
      <c r="K12" s="70"/>
      <c r="M12" s="86">
        <f t="shared" si="0"/>
        <v>0</v>
      </c>
    </row>
    <row r="13" spans="1:13" ht="12.75">
      <c r="A13" s="76">
        <v>2010</v>
      </c>
      <c r="B13" s="70">
        <f>Adótáblák2!B22/1000</f>
        <v>0</v>
      </c>
      <c r="C13" s="70">
        <f>ROUND('T.Adómegáll.'!D34,0)</f>
        <v>0</v>
      </c>
      <c r="E13" s="70">
        <f>Adótáblák2!C22/1000+Adótáblák2!C9/1000</f>
        <v>0</v>
      </c>
      <c r="G13" s="166">
        <f>IF(C13=0,-B13+E13+G12,-C13+E13+G12)</f>
        <v>0</v>
      </c>
      <c r="I13" s="70">
        <f>+'Összesített adótáblák'!E21/1000</f>
        <v>0</v>
      </c>
      <c r="J13" s="70"/>
      <c r="K13" s="70">
        <f>+('Összesített adótáblák'!F7+'Összesített adótáblák'!F21)/1000</f>
        <v>0</v>
      </c>
      <c r="M13" s="194">
        <f t="shared" si="0"/>
        <v>0</v>
      </c>
    </row>
    <row r="14" spans="2:13" ht="12.75">
      <c r="B14" s="70"/>
      <c r="E14" s="70"/>
      <c r="G14" s="80"/>
      <c r="I14" s="70"/>
      <c r="K14" s="70"/>
      <c r="M14" s="80"/>
    </row>
    <row r="15" spans="3:13" ht="12.75">
      <c r="C15" s="480" t="s">
        <v>91</v>
      </c>
      <c r="D15" s="481"/>
      <c r="E15" s="481"/>
      <c r="F15" s="481"/>
      <c r="G15" s="481"/>
      <c r="I15" s="480" t="s">
        <v>54</v>
      </c>
      <c r="J15" s="481"/>
      <c r="K15" s="481"/>
      <c r="L15" s="481"/>
      <c r="M15" s="481"/>
    </row>
    <row r="16" spans="1:13" ht="12.75">
      <c r="A16" s="76">
        <v>2004</v>
      </c>
      <c r="G16" s="80">
        <v>0</v>
      </c>
      <c r="I16" s="70"/>
      <c r="J16" s="70"/>
      <c r="K16" s="70"/>
      <c r="L16" s="70"/>
      <c r="M16" s="80">
        <v>0</v>
      </c>
    </row>
    <row r="17" spans="1:13" ht="12.75">
      <c r="A17" s="76">
        <v>2005</v>
      </c>
      <c r="C17" s="70"/>
      <c r="D17" s="70"/>
      <c r="E17" s="70"/>
      <c r="G17" s="80">
        <f aca="true" t="shared" si="1" ref="G17:G22">-C17+E17+G16</f>
        <v>0</v>
      </c>
      <c r="I17" s="70"/>
      <c r="J17" s="70"/>
      <c r="K17" s="70"/>
      <c r="L17" s="70"/>
      <c r="M17" s="86">
        <f aca="true" t="shared" si="2" ref="M17:M22">-I17+K17+M16</f>
        <v>0</v>
      </c>
    </row>
    <row r="18" spans="1:13" ht="12.75">
      <c r="A18" s="76">
        <v>2006</v>
      </c>
      <c r="C18" s="70"/>
      <c r="D18" s="70"/>
      <c r="E18" s="70"/>
      <c r="G18" s="80">
        <f t="shared" si="1"/>
        <v>0</v>
      </c>
      <c r="I18" s="70"/>
      <c r="J18" s="70"/>
      <c r="K18" s="70"/>
      <c r="L18" s="70"/>
      <c r="M18" s="86">
        <f t="shared" si="2"/>
        <v>0</v>
      </c>
    </row>
    <row r="19" spans="1:13" ht="12.75">
      <c r="A19" s="76">
        <v>2007</v>
      </c>
      <c r="C19" s="70"/>
      <c r="D19" s="70"/>
      <c r="E19" s="70"/>
      <c r="G19" s="86">
        <f t="shared" si="1"/>
        <v>0</v>
      </c>
      <c r="I19" s="70"/>
      <c r="J19" s="70"/>
      <c r="K19" s="70"/>
      <c r="L19" s="70"/>
      <c r="M19" s="86">
        <f t="shared" si="2"/>
        <v>0</v>
      </c>
    </row>
    <row r="20" spans="1:13" ht="12.75">
      <c r="A20" s="76">
        <v>2008</v>
      </c>
      <c r="C20" s="70"/>
      <c r="D20" s="70"/>
      <c r="E20" s="70"/>
      <c r="G20" s="86">
        <f t="shared" si="1"/>
        <v>0</v>
      </c>
      <c r="I20" s="70"/>
      <c r="J20" s="70"/>
      <c r="K20" s="70"/>
      <c r="L20" s="70"/>
      <c r="M20" s="86">
        <f t="shared" si="2"/>
        <v>0</v>
      </c>
    </row>
    <row r="21" spans="1:13" ht="12.75">
      <c r="A21" s="76">
        <v>2009</v>
      </c>
      <c r="C21" s="70"/>
      <c r="D21" s="70"/>
      <c r="E21" s="70"/>
      <c r="G21" s="86">
        <f t="shared" si="1"/>
        <v>0</v>
      </c>
      <c r="I21" s="70"/>
      <c r="J21" s="70"/>
      <c r="K21" s="70"/>
      <c r="L21" s="70"/>
      <c r="M21" s="86">
        <f t="shared" si="2"/>
        <v>0</v>
      </c>
    </row>
    <row r="22" spans="1:13" ht="12.75">
      <c r="A22" s="76">
        <v>2010</v>
      </c>
      <c r="C22" s="70">
        <f>+'Összesített adótáblák'!H21/1000</f>
        <v>0</v>
      </c>
      <c r="D22" s="70"/>
      <c r="E22" s="70">
        <f>+'Összesített adótáblák'!I7/1000+'Összesített adótáblák'!I21/1000</f>
        <v>0</v>
      </c>
      <c r="G22" s="194">
        <f t="shared" si="1"/>
        <v>0</v>
      </c>
      <c r="I22" s="70">
        <f>+'Összesített adótáblák'!C42/1000</f>
        <v>0</v>
      </c>
      <c r="J22" s="70"/>
      <c r="K22" s="70">
        <f>+'Összesített adótáblák'!D28/1000+'Összesített adótáblák'!D42/1000</f>
        <v>0</v>
      </c>
      <c r="L22" s="70"/>
      <c r="M22" s="194">
        <f t="shared" si="2"/>
        <v>0</v>
      </c>
    </row>
    <row r="23" spans="3:13" ht="6" customHeight="1">
      <c r="C23" s="70"/>
      <c r="E23" s="70"/>
      <c r="G23" s="80"/>
      <c r="I23" s="70"/>
      <c r="K23" s="70"/>
      <c r="M23" s="80"/>
    </row>
    <row r="24" spans="3:7" ht="12.75">
      <c r="C24" s="70"/>
      <c r="E24" s="70"/>
      <c r="G24" s="80"/>
    </row>
    <row r="25" spans="3:13" ht="12.75">
      <c r="C25" s="480" t="s">
        <v>55</v>
      </c>
      <c r="D25" s="481"/>
      <c r="E25" s="481"/>
      <c r="F25" s="481"/>
      <c r="G25" s="481"/>
      <c r="I25" s="480" t="s">
        <v>56</v>
      </c>
      <c r="J25" s="481"/>
      <c r="K25" s="481"/>
      <c r="L25" s="481"/>
      <c r="M25" s="481"/>
    </row>
    <row r="26" spans="1:13" ht="12.75">
      <c r="A26" s="76">
        <v>2004</v>
      </c>
      <c r="E26" s="81"/>
      <c r="G26" s="80">
        <v>0</v>
      </c>
      <c r="M26" s="80">
        <v>0</v>
      </c>
    </row>
    <row r="27" spans="1:13" ht="12.75">
      <c r="A27" s="76">
        <v>2005</v>
      </c>
      <c r="E27" s="81"/>
      <c r="G27" s="86">
        <f aca="true" t="shared" si="3" ref="G27:G32">-C27+E27+G26</f>
        <v>0</v>
      </c>
      <c r="M27" s="80"/>
    </row>
    <row r="28" spans="1:13" ht="12.75">
      <c r="A28" s="76">
        <v>2006</v>
      </c>
      <c r="G28" s="86">
        <f t="shared" si="3"/>
        <v>0</v>
      </c>
      <c r="M28" s="80"/>
    </row>
    <row r="29" spans="1:13" ht="12.75">
      <c r="A29" s="76">
        <v>2007</v>
      </c>
      <c r="G29" s="86">
        <f t="shared" si="3"/>
        <v>0</v>
      </c>
      <c r="J29" s="8"/>
      <c r="M29" s="86">
        <f>-I29+K29+M26</f>
        <v>0</v>
      </c>
    </row>
    <row r="30" spans="1:13" ht="12.75">
      <c r="A30" s="76">
        <v>2008</v>
      </c>
      <c r="G30" s="86">
        <f t="shared" si="3"/>
        <v>0</v>
      </c>
      <c r="J30" s="8"/>
      <c r="M30" s="86">
        <f>-I30+K30+M29</f>
        <v>0</v>
      </c>
    </row>
    <row r="31" spans="1:13" ht="12.75">
      <c r="A31" s="76">
        <v>2009</v>
      </c>
      <c r="G31" s="86">
        <f t="shared" si="3"/>
        <v>0</v>
      </c>
      <c r="J31" s="8"/>
      <c r="M31" s="86">
        <f>-I31+K31+M30</f>
        <v>0</v>
      </c>
    </row>
    <row r="32" spans="1:13" ht="12.75">
      <c r="A32" s="76">
        <v>2010</v>
      </c>
      <c r="C32" s="70">
        <f>+'Összesített adótáblák'!F42/1000</f>
        <v>0</v>
      </c>
      <c r="E32" s="70">
        <f>+'Összesített adótáblák'!G28/1000+'Összesített adótáblák'!G42/1000</f>
        <v>0</v>
      </c>
      <c r="G32" s="166">
        <f t="shared" si="3"/>
        <v>0</v>
      </c>
      <c r="I32" s="70">
        <f>+'Összesített adótáblák'!K42/1000</f>
        <v>0</v>
      </c>
      <c r="J32" s="8"/>
      <c r="K32" s="70">
        <f>+'Összesített adótáblák'!L28/1000+'Összesített adótáblák'!L42/1000</f>
        <v>0</v>
      </c>
      <c r="M32" s="166">
        <f>-I32+K32+M31</f>
        <v>0</v>
      </c>
    </row>
    <row r="33" ht="9" customHeight="1"/>
    <row r="34" spans="3:13" ht="12.75">
      <c r="C34" s="480" t="s">
        <v>195</v>
      </c>
      <c r="D34" s="482"/>
      <c r="E34" s="482"/>
      <c r="F34" s="482"/>
      <c r="G34" s="482"/>
      <c r="I34" s="480" t="s">
        <v>93</v>
      </c>
      <c r="J34" s="482"/>
      <c r="K34" s="482"/>
      <c r="L34" s="482"/>
      <c r="M34" s="482"/>
    </row>
    <row r="35" spans="1:13" ht="12.75">
      <c r="A35" s="76">
        <v>2004</v>
      </c>
      <c r="E35" s="80"/>
      <c r="G35" s="80">
        <f>-C35+E35</f>
        <v>0</v>
      </c>
      <c r="M35" s="80">
        <f>-I35+K35</f>
        <v>0</v>
      </c>
    </row>
    <row r="36" spans="1:13" ht="12.75">
      <c r="A36" s="76">
        <v>2005</v>
      </c>
      <c r="E36" s="82"/>
      <c r="G36" s="80">
        <f aca="true" t="shared" si="4" ref="G36:G41">-C36+E36+G35</f>
        <v>0</v>
      </c>
      <c r="M36" s="80">
        <f aca="true" t="shared" si="5" ref="M36:M41">-I36+K36+M35</f>
        <v>0</v>
      </c>
    </row>
    <row r="37" spans="1:13" ht="12.75">
      <c r="A37" s="76">
        <v>2006</v>
      </c>
      <c r="G37" s="80">
        <f t="shared" si="4"/>
        <v>0</v>
      </c>
      <c r="M37" s="80">
        <f t="shared" si="5"/>
        <v>0</v>
      </c>
    </row>
    <row r="38" spans="1:13" ht="12.75">
      <c r="A38" s="76">
        <v>2007</v>
      </c>
      <c r="G38" s="80">
        <f t="shared" si="4"/>
        <v>0</v>
      </c>
      <c r="M38" s="80">
        <f t="shared" si="5"/>
        <v>0</v>
      </c>
    </row>
    <row r="39" spans="1:13" ht="12.75">
      <c r="A39" s="76">
        <v>2008</v>
      </c>
      <c r="G39" s="80">
        <f t="shared" si="4"/>
        <v>0</v>
      </c>
      <c r="M39" s="80">
        <f t="shared" si="5"/>
        <v>0</v>
      </c>
    </row>
    <row r="40" spans="1:13" ht="12.75">
      <c r="A40" s="76">
        <v>2009</v>
      </c>
      <c r="G40" s="80">
        <f t="shared" si="4"/>
        <v>0</v>
      </c>
      <c r="M40" s="80">
        <f t="shared" si="5"/>
        <v>0</v>
      </c>
    </row>
    <row r="41" spans="1:13" ht="12.75">
      <c r="A41" s="76">
        <v>2010</v>
      </c>
      <c r="C41" s="70"/>
      <c r="E41" s="70"/>
      <c r="G41" s="166">
        <f t="shared" si="4"/>
        <v>0</v>
      </c>
      <c r="I41" s="70">
        <f>+'Összesített adótáblák'!D63/1000</f>
        <v>0</v>
      </c>
      <c r="K41" s="76">
        <f>+'Összesített adótáblák'!E50/1000+'Összesített adótáblák'!E63/1000</f>
        <v>0</v>
      </c>
      <c r="M41" s="166">
        <f t="shared" si="5"/>
        <v>0</v>
      </c>
    </row>
    <row r="42" spans="4:7" ht="12.75">
      <c r="D42" s="8"/>
      <c r="G42" s="80"/>
    </row>
    <row r="43" spans="3:13" ht="12.75">
      <c r="C43" s="480" t="s">
        <v>92</v>
      </c>
      <c r="D43" s="482"/>
      <c r="E43" s="482"/>
      <c r="F43" s="482"/>
      <c r="G43" s="482"/>
      <c r="I43" s="480" t="s">
        <v>295</v>
      </c>
      <c r="J43" s="482"/>
      <c r="K43" s="482"/>
      <c r="L43" s="482"/>
      <c r="M43" s="482"/>
    </row>
    <row r="44" spans="1:13" ht="12.75">
      <c r="A44" s="76">
        <v>2004</v>
      </c>
      <c r="C44" s="134"/>
      <c r="D44" s="9"/>
      <c r="E44" s="163"/>
      <c r="F44" s="9"/>
      <c r="G44" s="80">
        <f>-C44+E44+G42</f>
        <v>0</v>
      </c>
      <c r="I44" s="106"/>
      <c r="J44" s="180"/>
      <c r="K44" s="180"/>
      <c r="L44" s="9"/>
      <c r="M44" s="80">
        <f>-I44+K44</f>
        <v>0</v>
      </c>
    </row>
    <row r="45" spans="1:13" ht="12.75">
      <c r="A45" s="76">
        <v>2005</v>
      </c>
      <c r="C45" s="134"/>
      <c r="D45" s="9"/>
      <c r="E45" s="163"/>
      <c r="F45" s="9"/>
      <c r="G45" s="86">
        <f aca="true" t="shared" si="6" ref="G45:G50">-C45+E45+G44</f>
        <v>0</v>
      </c>
      <c r="I45" s="106"/>
      <c r="J45" s="180"/>
      <c r="K45" s="180"/>
      <c r="L45" s="9"/>
      <c r="M45" s="86">
        <f aca="true" t="shared" si="7" ref="M45:M50">-I45+K45+M44</f>
        <v>0</v>
      </c>
    </row>
    <row r="46" spans="1:13" ht="12.75">
      <c r="A46" s="76">
        <v>2006</v>
      </c>
      <c r="C46" s="134"/>
      <c r="D46" s="9"/>
      <c r="E46" s="163"/>
      <c r="F46" s="9"/>
      <c r="G46" s="86">
        <f t="shared" si="6"/>
        <v>0</v>
      </c>
      <c r="I46" s="70"/>
      <c r="J46" s="70"/>
      <c r="K46" s="70"/>
      <c r="L46" s="9"/>
      <c r="M46" s="86">
        <f t="shared" si="7"/>
        <v>0</v>
      </c>
    </row>
    <row r="47" spans="1:13" ht="12.75">
      <c r="A47" s="76">
        <v>2007</v>
      </c>
      <c r="C47" s="134"/>
      <c r="D47" s="9"/>
      <c r="E47" s="163"/>
      <c r="F47" s="9"/>
      <c r="G47" s="86">
        <f t="shared" si="6"/>
        <v>0</v>
      </c>
      <c r="I47" s="70"/>
      <c r="J47" s="70"/>
      <c r="K47" s="70"/>
      <c r="L47" s="9"/>
      <c r="M47" s="86">
        <f t="shared" si="7"/>
        <v>0</v>
      </c>
    </row>
    <row r="48" spans="1:13" ht="12.75">
      <c r="A48" s="76">
        <v>2008</v>
      </c>
      <c r="C48" s="134"/>
      <c r="D48" s="9"/>
      <c r="E48" s="163"/>
      <c r="F48" s="9"/>
      <c r="G48" s="86">
        <f t="shared" si="6"/>
        <v>0</v>
      </c>
      <c r="I48" s="70"/>
      <c r="J48" s="70"/>
      <c r="K48" s="70"/>
      <c r="L48" s="9"/>
      <c r="M48" s="86">
        <f t="shared" si="7"/>
        <v>0</v>
      </c>
    </row>
    <row r="49" spans="1:13" ht="12.75">
      <c r="A49" s="76">
        <v>2009</v>
      </c>
      <c r="C49" s="134"/>
      <c r="D49" s="9"/>
      <c r="E49" s="163"/>
      <c r="F49" s="9"/>
      <c r="G49" s="86">
        <f t="shared" si="6"/>
        <v>0</v>
      </c>
      <c r="I49" s="70"/>
      <c r="J49" s="70"/>
      <c r="K49" s="70"/>
      <c r="L49" s="9"/>
      <c r="M49" s="86">
        <f t="shared" si="7"/>
        <v>0</v>
      </c>
    </row>
    <row r="50" spans="1:13" ht="12.75">
      <c r="A50" s="76">
        <v>2010</v>
      </c>
      <c r="C50" s="70">
        <f>+'Összesített adótáblák'!I42/1000</f>
        <v>0</v>
      </c>
      <c r="E50" s="70">
        <f>+'Összesített adótáblák'!J28/1000+'Összesített adótáblák'!J42/1000</f>
        <v>0</v>
      </c>
      <c r="G50" s="166">
        <f t="shared" si="6"/>
        <v>0</v>
      </c>
      <c r="I50" s="70">
        <f>+'Összesített adótáblák'!M83/1000</f>
        <v>0</v>
      </c>
      <c r="J50" s="70"/>
      <c r="K50" s="70">
        <f>+'Összesített adótáblák'!N69/1000+'Összesített adótáblák'!N83/1000</f>
        <v>0</v>
      </c>
      <c r="M50" s="194">
        <f t="shared" si="7"/>
        <v>0</v>
      </c>
    </row>
    <row r="51" spans="4:7" ht="12.75" customHeight="1">
      <c r="D51" s="8"/>
      <c r="G51" s="80"/>
    </row>
    <row r="52" spans="3:13" ht="12.75">
      <c r="C52" s="480" t="s">
        <v>134</v>
      </c>
      <c r="D52" s="482"/>
      <c r="E52" s="482"/>
      <c r="F52" s="482"/>
      <c r="G52" s="482"/>
      <c r="I52" s="480" t="s">
        <v>135</v>
      </c>
      <c r="J52" s="482"/>
      <c r="K52" s="482"/>
      <c r="L52" s="482"/>
      <c r="M52" s="482"/>
    </row>
    <row r="53" spans="1:13" ht="12.75">
      <c r="A53" s="76">
        <v>2004</v>
      </c>
      <c r="C53" s="106"/>
      <c r="D53" s="180"/>
      <c r="E53" s="180"/>
      <c r="F53" s="9"/>
      <c r="G53" s="80">
        <f>-C53+E53</f>
        <v>0</v>
      </c>
      <c r="I53" s="106"/>
      <c r="J53" s="180"/>
      <c r="K53" s="180"/>
      <c r="L53" s="9"/>
      <c r="M53" s="80">
        <f>-I53+K53</f>
        <v>0</v>
      </c>
    </row>
    <row r="54" spans="1:13" ht="12.75">
      <c r="A54" s="76">
        <v>2005</v>
      </c>
      <c r="C54" s="106"/>
      <c r="D54" s="180"/>
      <c r="E54" s="180"/>
      <c r="F54" s="9"/>
      <c r="G54" s="86">
        <f aca="true" t="shared" si="8" ref="G54:G59">-C54+E54+G53</f>
        <v>0</v>
      </c>
      <c r="I54" s="106"/>
      <c r="J54" s="180"/>
      <c r="K54" s="180"/>
      <c r="L54" s="9"/>
      <c r="M54" s="86">
        <f aca="true" t="shared" si="9" ref="M54:M59">-I54+K54+M53</f>
        <v>0</v>
      </c>
    </row>
    <row r="55" spans="1:13" ht="12.75">
      <c r="A55" s="76">
        <v>2006</v>
      </c>
      <c r="C55" s="70"/>
      <c r="D55" s="70"/>
      <c r="E55" s="70"/>
      <c r="F55" s="9"/>
      <c r="G55" s="86">
        <f t="shared" si="8"/>
        <v>0</v>
      </c>
      <c r="I55" s="70"/>
      <c r="J55" s="70"/>
      <c r="K55" s="70"/>
      <c r="L55" s="9"/>
      <c r="M55" s="86">
        <f t="shared" si="9"/>
        <v>0</v>
      </c>
    </row>
    <row r="56" spans="1:13" ht="12.75">
      <c r="A56" s="76">
        <v>2007</v>
      </c>
      <c r="C56" s="70"/>
      <c r="D56" s="70"/>
      <c r="E56" s="70"/>
      <c r="F56" s="9"/>
      <c r="G56" s="86">
        <f t="shared" si="8"/>
        <v>0</v>
      </c>
      <c r="I56" s="70"/>
      <c r="J56" s="70"/>
      <c r="K56" s="70"/>
      <c r="L56" s="9"/>
      <c r="M56" s="86">
        <f t="shared" si="9"/>
        <v>0</v>
      </c>
    </row>
    <row r="57" spans="1:13" ht="12.75">
      <c r="A57" s="76">
        <v>2008</v>
      </c>
      <c r="C57" s="70"/>
      <c r="D57" s="70"/>
      <c r="E57" s="70"/>
      <c r="F57" s="9"/>
      <c r="G57" s="86">
        <f t="shared" si="8"/>
        <v>0</v>
      </c>
      <c r="I57" s="70"/>
      <c r="J57" s="70"/>
      <c r="K57" s="70"/>
      <c r="L57" s="9"/>
      <c r="M57" s="86">
        <f t="shared" si="9"/>
        <v>0</v>
      </c>
    </row>
    <row r="58" spans="1:13" ht="12.75">
      <c r="A58" s="76">
        <v>2009</v>
      </c>
      <c r="C58" s="70"/>
      <c r="D58" s="70"/>
      <c r="E58" s="70"/>
      <c r="F58" s="9"/>
      <c r="G58" s="86">
        <f t="shared" si="8"/>
        <v>0</v>
      </c>
      <c r="I58" s="70"/>
      <c r="J58" s="70"/>
      <c r="K58" s="70"/>
      <c r="L58" s="9"/>
      <c r="M58" s="86">
        <f t="shared" si="9"/>
        <v>0</v>
      </c>
    </row>
    <row r="59" spans="1:13" ht="12.75">
      <c r="A59" s="76">
        <v>2010</v>
      </c>
      <c r="C59" s="70">
        <f>+'Összesített adótáblák'!K21/1000</f>
        <v>0</v>
      </c>
      <c r="D59" s="70"/>
      <c r="E59" s="70">
        <f>+'Összesített adótáblák'!L7/1000+'Összesített adótáblák'!L21/1000</f>
        <v>0</v>
      </c>
      <c r="G59" s="194">
        <f t="shared" si="8"/>
        <v>0</v>
      </c>
      <c r="I59" s="70">
        <f>+'Összesített adótáblák'!N21/1000</f>
        <v>0</v>
      </c>
      <c r="J59" s="70"/>
      <c r="K59" s="70">
        <f>+'Összesített adótáblák'!O7/1000+'Összesített adótáblák'!O21/1000</f>
        <v>0</v>
      </c>
      <c r="M59" s="194">
        <f t="shared" si="9"/>
        <v>0</v>
      </c>
    </row>
    <row r="60" spans="3:13" ht="12.75" customHeight="1">
      <c r="C60" s="70"/>
      <c r="E60" s="70"/>
      <c r="G60" s="80"/>
      <c r="I60" s="86"/>
      <c r="K60" s="86"/>
      <c r="M60" s="86"/>
    </row>
    <row r="61" ht="12.75">
      <c r="A61" s="68" t="s">
        <v>22</v>
      </c>
    </row>
    <row r="62" spans="2:7" ht="12.75">
      <c r="B62" s="83" t="s">
        <v>19</v>
      </c>
      <c r="G62" s="86">
        <f>G13</f>
        <v>0</v>
      </c>
    </row>
    <row r="63" spans="2:7" ht="12.75">
      <c r="B63" s="83" t="s">
        <v>20</v>
      </c>
      <c r="G63" s="86">
        <f>M13</f>
        <v>0</v>
      </c>
    </row>
    <row r="64" spans="2:13" ht="12.75">
      <c r="B64" s="83" t="s">
        <v>21</v>
      </c>
      <c r="G64" s="86">
        <f>G22</f>
        <v>0</v>
      </c>
      <c r="I64" s="480" t="s">
        <v>296</v>
      </c>
      <c r="J64" s="482"/>
      <c r="K64" s="482"/>
      <c r="L64" s="482"/>
      <c r="M64" s="482"/>
    </row>
    <row r="65" spans="2:13" ht="12.75">
      <c r="B65" s="83" t="s">
        <v>11</v>
      </c>
      <c r="G65" s="86">
        <f>M22</f>
        <v>0</v>
      </c>
      <c r="I65" s="106"/>
      <c r="J65" s="180"/>
      <c r="K65" s="180"/>
      <c r="L65" s="9"/>
      <c r="M65" s="81">
        <f>-I65+K65</f>
        <v>0</v>
      </c>
    </row>
    <row r="66" spans="2:13" ht="12.75">
      <c r="B66" s="84" t="s">
        <v>12</v>
      </c>
      <c r="G66" s="86">
        <f>G32</f>
        <v>0</v>
      </c>
      <c r="I66" s="106"/>
      <c r="J66" s="180"/>
      <c r="K66" s="180"/>
      <c r="L66" s="9"/>
      <c r="M66" s="81">
        <f aca="true" t="shared" si="10" ref="M66:M71">-I66+K66+M65</f>
        <v>0</v>
      </c>
    </row>
    <row r="67" spans="2:13" ht="12.75">
      <c r="B67" s="84" t="s">
        <v>14</v>
      </c>
      <c r="G67" s="86">
        <f>M32</f>
        <v>0</v>
      </c>
      <c r="I67" s="70"/>
      <c r="J67" s="70"/>
      <c r="K67" s="70"/>
      <c r="L67" s="9"/>
      <c r="M67" s="81">
        <f t="shared" si="10"/>
        <v>0</v>
      </c>
    </row>
    <row r="68" spans="2:13" ht="12.75">
      <c r="B68" s="84" t="s">
        <v>94</v>
      </c>
      <c r="G68" s="86">
        <f>G50</f>
        <v>0</v>
      </c>
      <c r="I68" s="70"/>
      <c r="J68" s="70"/>
      <c r="K68" s="70"/>
      <c r="L68" s="9"/>
      <c r="M68" s="81">
        <f t="shared" si="10"/>
        <v>0</v>
      </c>
    </row>
    <row r="69" spans="2:13" ht="12.75">
      <c r="B69" s="7" t="s">
        <v>10</v>
      </c>
      <c r="G69" s="86">
        <f>G41</f>
        <v>0</v>
      </c>
      <c r="I69" s="70"/>
      <c r="J69" s="70"/>
      <c r="K69" s="70"/>
      <c r="L69" s="9"/>
      <c r="M69" s="81">
        <f t="shared" si="10"/>
        <v>0</v>
      </c>
    </row>
    <row r="70" spans="2:13" ht="12.75">
      <c r="B70" s="7" t="s">
        <v>13</v>
      </c>
      <c r="G70" s="86">
        <f>M41</f>
        <v>0</v>
      </c>
      <c r="I70" s="70"/>
      <c r="J70" s="70"/>
      <c r="K70" s="70"/>
      <c r="L70" s="9"/>
      <c r="M70" s="81">
        <f t="shared" si="10"/>
        <v>0</v>
      </c>
    </row>
    <row r="71" spans="2:13" ht="12.75">
      <c r="B71" s="7" t="s">
        <v>136</v>
      </c>
      <c r="G71" s="86">
        <f>G59</f>
        <v>0</v>
      </c>
      <c r="I71" s="70">
        <f>+'IP.Adómegáll'!E20</f>
        <v>0</v>
      </c>
      <c r="J71" s="70"/>
      <c r="K71" s="70">
        <f>+Adótáblák2!M29+Adótáblák2!M42</f>
        <v>0</v>
      </c>
      <c r="M71" s="292">
        <f t="shared" si="10"/>
        <v>0</v>
      </c>
    </row>
    <row r="72" spans="2:7" ht="12.75">
      <c r="B72" s="7" t="s">
        <v>137</v>
      </c>
      <c r="G72" s="86">
        <f>M59</f>
        <v>0</v>
      </c>
    </row>
    <row r="73" spans="2:13" ht="12.75">
      <c r="B73" s="7" t="s">
        <v>23</v>
      </c>
      <c r="G73" s="86">
        <v>0</v>
      </c>
      <c r="J73" s="84" t="s">
        <v>52</v>
      </c>
      <c r="M73" s="70">
        <f>+M71</f>
        <v>0</v>
      </c>
    </row>
    <row r="74" spans="2:13" ht="12.75">
      <c r="B74" s="7" t="s">
        <v>291</v>
      </c>
      <c r="G74" s="86">
        <f>+M50</f>
        <v>0</v>
      </c>
      <c r="J74" s="7" t="s">
        <v>23</v>
      </c>
      <c r="M74" s="70">
        <v>0</v>
      </c>
    </row>
    <row r="75" spans="2:13" ht="13.5" thickBot="1">
      <c r="B75" s="167" t="s">
        <v>24</v>
      </c>
      <c r="C75" s="168"/>
      <c r="D75" s="168"/>
      <c r="E75" s="168"/>
      <c r="F75" s="168"/>
      <c r="G75" s="169">
        <v>0</v>
      </c>
      <c r="J75" s="7" t="s">
        <v>24</v>
      </c>
      <c r="M75" s="174">
        <v>0</v>
      </c>
    </row>
    <row r="76" spans="2:13" ht="12.75">
      <c r="B76" s="76" t="s">
        <v>138</v>
      </c>
      <c r="G76" s="175">
        <f>SUM(G62:G75)</f>
        <v>0</v>
      </c>
      <c r="J76" s="76" t="s">
        <v>34</v>
      </c>
      <c r="M76" s="75">
        <f>SUM(M73:M75)</f>
        <v>0</v>
      </c>
    </row>
  </sheetData>
  <sheetProtection/>
  <mergeCells count="14">
    <mergeCell ref="C52:G52"/>
    <mergeCell ref="I52:M52"/>
    <mergeCell ref="C43:G43"/>
    <mergeCell ref="I43:M43"/>
    <mergeCell ref="I64:M64"/>
    <mergeCell ref="C34:G34"/>
    <mergeCell ref="I34:M34"/>
    <mergeCell ref="A2:M2"/>
    <mergeCell ref="C25:G25"/>
    <mergeCell ref="I25:M25"/>
    <mergeCell ref="C6:G6"/>
    <mergeCell ref="I6:M6"/>
    <mergeCell ref="C15:G15"/>
    <mergeCell ref="I15:M15"/>
  </mergeCells>
  <printOptions horizontalCentered="1"/>
  <pageMargins left="0.15748031496062992" right="0.15748031496062992" top="0.2362204724409449" bottom="0.2362204724409449" header="0.2362204724409449" footer="0.2362204724409449"/>
  <pageSetup fitToHeight="1" fitToWidth="1" horizontalDpi="300" verticalDpi="300" orientation="portrait" paperSize="9" scale="86" r:id="rId1"/>
  <headerFooter alignWithMargins="0">
    <oddFooter>&amp;LK &amp;&amp; 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9.00390625" style="0" customWidth="1"/>
    <col min="3" max="3" width="10.125" style="0" customWidth="1"/>
    <col min="4" max="4" width="33.625" style="0" customWidth="1"/>
  </cols>
  <sheetData>
    <row r="1" spans="1:4" s="192" customFormat="1" ht="24.75" customHeight="1">
      <c r="A1" s="189" t="s">
        <v>191</v>
      </c>
      <c r="B1" s="190"/>
      <c r="C1" s="190"/>
      <c r="D1" s="191" t="s">
        <v>110</v>
      </c>
    </row>
    <row r="2" spans="1:4" ht="15">
      <c r="A2" s="129" t="s">
        <v>342</v>
      </c>
      <c r="B2" s="116"/>
      <c r="C2" s="116"/>
      <c r="D2" s="117" t="s">
        <v>111</v>
      </c>
    </row>
    <row r="3" spans="1:4" ht="15">
      <c r="A3" s="129"/>
      <c r="B3" s="116"/>
      <c r="C3" s="116"/>
      <c r="D3" s="117" t="s">
        <v>133</v>
      </c>
    </row>
    <row r="4" spans="1:4" ht="15">
      <c r="A4" s="121"/>
      <c r="B4" s="122"/>
      <c r="C4" s="122"/>
      <c r="D4" s="150" t="s">
        <v>210</v>
      </c>
    </row>
    <row r="5" spans="1:4" ht="15">
      <c r="A5" s="115"/>
      <c r="B5" s="114"/>
      <c r="C5" s="114"/>
      <c r="D5" s="115"/>
    </row>
    <row r="6" spans="1:4" ht="15">
      <c r="A6" s="115"/>
      <c r="B6" s="114"/>
      <c r="C6" s="114"/>
      <c r="D6" s="115"/>
    </row>
    <row r="7" spans="1:4" ht="15">
      <c r="A7" s="115"/>
      <c r="B7" s="114"/>
      <c r="C7" s="114"/>
      <c r="D7" s="115"/>
    </row>
    <row r="8" spans="1:4" ht="15">
      <c r="A8" s="115"/>
      <c r="B8" s="114"/>
      <c r="C8" s="114"/>
      <c r="D8" s="115"/>
    </row>
    <row r="10" spans="1:4" ht="20.25">
      <c r="A10" s="444" t="s">
        <v>95</v>
      </c>
      <c r="B10" s="444"/>
      <c r="C10" s="445"/>
      <c r="D10" s="445"/>
    </row>
    <row r="11" spans="1:3" ht="20.25">
      <c r="A11" s="89"/>
      <c r="B11" s="444">
        <v>2010</v>
      </c>
      <c r="C11" s="444"/>
    </row>
    <row r="12" spans="1:2" ht="20.25">
      <c r="A12" s="89"/>
      <c r="B12" s="89"/>
    </row>
    <row r="14" spans="1:4" ht="12.75">
      <c r="A14" s="446" t="s">
        <v>96</v>
      </c>
      <c r="B14" s="446"/>
      <c r="C14" s="445"/>
      <c r="D14" s="445"/>
    </row>
    <row r="15" spans="1:2" ht="12.75">
      <c r="A15" s="8"/>
      <c r="B15" s="8"/>
    </row>
    <row r="17" spans="1:4" ht="18">
      <c r="A17" s="447" t="s">
        <v>207</v>
      </c>
      <c r="B17" s="448"/>
      <c r="C17" s="448"/>
      <c r="D17" s="448"/>
    </row>
    <row r="18" spans="1:4" ht="12.75">
      <c r="A18" s="448" t="s">
        <v>115</v>
      </c>
      <c r="B18" s="448"/>
      <c r="C18" s="448"/>
      <c r="D18" s="448"/>
    </row>
    <row r="19" spans="1:3" ht="15.75">
      <c r="A19" s="118"/>
      <c r="C19" s="11"/>
    </row>
    <row r="20" spans="1:3" ht="15.75">
      <c r="A20" s="118"/>
      <c r="C20" s="11"/>
    </row>
    <row r="21" spans="1:3" ht="15.75">
      <c r="A21" s="118"/>
      <c r="C21" s="11"/>
    </row>
    <row r="22" spans="1:3" s="12" customFormat="1" ht="19.5" customHeight="1">
      <c r="A22" s="119" t="s">
        <v>113</v>
      </c>
      <c r="C22" s="120" t="s">
        <v>199</v>
      </c>
    </row>
    <row r="23" spans="1:3" s="12" customFormat="1" ht="19.5" customHeight="1">
      <c r="A23" s="119" t="s">
        <v>114</v>
      </c>
      <c r="C23" s="120" t="s">
        <v>199</v>
      </c>
    </row>
    <row r="24" spans="1:3" s="12" customFormat="1" ht="19.5" customHeight="1">
      <c r="A24" s="119" t="s">
        <v>97</v>
      </c>
      <c r="C24" s="120" t="s">
        <v>200</v>
      </c>
    </row>
    <row r="25" spans="1:3" s="12" customFormat="1" ht="19.5" customHeight="1">
      <c r="A25" s="119" t="s">
        <v>157</v>
      </c>
      <c r="C25" s="120" t="s">
        <v>201</v>
      </c>
    </row>
    <row r="26" spans="1:3" s="12" customFormat="1" ht="19.5" customHeight="1">
      <c r="A26" s="119" t="s">
        <v>158</v>
      </c>
      <c r="C26" s="120" t="s">
        <v>204</v>
      </c>
    </row>
    <row r="27" spans="1:4" s="12" customFormat="1" ht="19.5" customHeight="1">
      <c r="A27" s="119" t="s">
        <v>159</v>
      </c>
      <c r="C27" s="172"/>
      <c r="D27" s="120"/>
    </row>
    <row r="28" spans="1:4" s="12" customFormat="1" ht="19.5" customHeight="1">
      <c r="A28" s="119" t="s">
        <v>98</v>
      </c>
      <c r="C28" s="172"/>
      <c r="D28" s="120"/>
    </row>
    <row r="29" spans="1:4" s="12" customFormat="1" ht="19.5" customHeight="1">
      <c r="A29" s="119" t="s">
        <v>112</v>
      </c>
      <c r="C29" s="172"/>
      <c r="D29" s="120"/>
    </row>
    <row r="30" spans="1:3" s="12" customFormat="1" ht="19.5" customHeight="1">
      <c r="A30" s="119" t="s">
        <v>100</v>
      </c>
      <c r="C30" s="120" t="s">
        <v>202</v>
      </c>
    </row>
    <row r="31" spans="1:3" s="12" customFormat="1" ht="19.5" customHeight="1">
      <c r="A31" s="119"/>
      <c r="C31" s="120"/>
    </row>
    <row r="32" spans="1:3" s="12" customFormat="1" ht="19.5" customHeight="1">
      <c r="A32" s="119" t="s">
        <v>297</v>
      </c>
      <c r="C32" s="120" t="s">
        <v>205</v>
      </c>
    </row>
    <row r="33" spans="1:3" s="12" customFormat="1" ht="19.5" customHeight="1">
      <c r="A33" s="119" t="s">
        <v>99</v>
      </c>
      <c r="C33" s="120" t="s">
        <v>206</v>
      </c>
    </row>
    <row r="34" spans="1:3" s="12" customFormat="1" ht="19.5" customHeight="1">
      <c r="A34" s="119"/>
      <c r="C34" s="120"/>
    </row>
    <row r="35" spans="1:3" s="12" customFormat="1" ht="19.5" customHeight="1">
      <c r="A35" s="119" t="s">
        <v>102</v>
      </c>
      <c r="C35" s="120" t="s">
        <v>208</v>
      </c>
    </row>
    <row r="36" spans="1:3" s="12" customFormat="1" ht="19.5" customHeight="1">
      <c r="A36" s="119" t="s">
        <v>101</v>
      </c>
      <c r="C36" s="120" t="s">
        <v>209</v>
      </c>
    </row>
    <row r="37" spans="1:3" ht="19.5" customHeight="1">
      <c r="A37" s="119" t="s">
        <v>156</v>
      </c>
      <c r="C37" s="432" t="s">
        <v>435</v>
      </c>
    </row>
  </sheetData>
  <sheetProtection/>
  <mergeCells count="5">
    <mergeCell ref="A10:D10"/>
    <mergeCell ref="A14:D14"/>
    <mergeCell ref="A17:D17"/>
    <mergeCell ref="A18:D18"/>
    <mergeCell ref="B11:C11"/>
  </mergeCells>
  <hyperlinks>
    <hyperlink ref="C37" r:id="rId1" display="info@probakft.hu"/>
  </hyperlinks>
  <printOptions horizontalCentered="1"/>
  <pageMargins left="0.15748031496062992" right="0.15748031496062992" top="0.81" bottom="0.984251968503937" header="0.64" footer="0.5118110236220472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3" max="3" width="13.00390625" style="0" customWidth="1"/>
    <col min="4" max="4" width="14.25390625" style="0" customWidth="1"/>
    <col min="5" max="5" width="18.375" style="0" customWidth="1"/>
    <col min="6" max="6" width="11.25390625" style="0" customWidth="1"/>
    <col min="7" max="7" width="10.125" style="0" customWidth="1"/>
    <col min="8" max="8" width="10.25390625" style="0" customWidth="1"/>
    <col min="9" max="9" width="10.625" style="0" customWidth="1"/>
    <col min="10" max="10" width="12.75390625" style="0" customWidth="1"/>
    <col min="15" max="15" width="9.875" style="0" bestFit="1" customWidth="1"/>
  </cols>
  <sheetData>
    <row r="1" spans="2:10" ht="15">
      <c r="B1" s="315"/>
      <c r="C1" s="316"/>
      <c r="D1" s="239"/>
      <c r="E1" s="315" t="s">
        <v>323</v>
      </c>
      <c r="G1" s="239"/>
      <c r="H1" s="239"/>
      <c r="I1" s="239"/>
      <c r="J1" s="239"/>
    </row>
    <row r="2" spans="2:10" ht="14.25">
      <c r="B2" s="241"/>
      <c r="C2" s="317"/>
      <c r="D2" s="241"/>
      <c r="E2" s="241"/>
      <c r="F2" s="241"/>
      <c r="G2" s="241"/>
      <c r="H2" s="241"/>
      <c r="I2" s="241"/>
      <c r="J2" s="241"/>
    </row>
    <row r="3" spans="1:10" ht="15.75">
      <c r="A3" s="318" t="s">
        <v>125</v>
      </c>
      <c r="B3" s="317"/>
      <c r="D3" s="185" t="str">
        <f>Adatlap!$A$17</f>
        <v>Próba Kft.</v>
      </c>
      <c r="F3" s="241"/>
      <c r="G3" s="241"/>
      <c r="H3" s="241"/>
      <c r="I3" s="241"/>
      <c r="J3" s="241"/>
    </row>
    <row r="4" spans="1:10" ht="15">
      <c r="A4" s="318" t="s">
        <v>338</v>
      </c>
      <c r="B4" s="317"/>
      <c r="C4" s="319"/>
      <c r="D4" s="235" t="s">
        <v>350</v>
      </c>
      <c r="F4" s="241"/>
      <c r="G4" s="241"/>
      <c r="H4" s="241"/>
      <c r="I4" s="241"/>
      <c r="J4" s="241"/>
    </row>
    <row r="5" spans="2:10" ht="14.25">
      <c r="B5" s="241"/>
      <c r="C5" s="317"/>
      <c r="D5" s="241"/>
      <c r="E5" s="241"/>
      <c r="F5" s="241"/>
      <c r="G5" s="241"/>
      <c r="H5" s="241"/>
      <c r="I5" s="241"/>
      <c r="J5" s="241"/>
    </row>
    <row r="6" spans="2:10" ht="45">
      <c r="B6" s="320" t="s">
        <v>324</v>
      </c>
      <c r="C6" s="321" t="s">
        <v>325</v>
      </c>
      <c r="D6" s="322" t="s">
        <v>326</v>
      </c>
      <c r="E6" s="320" t="s">
        <v>88</v>
      </c>
      <c r="F6" s="322" t="s">
        <v>327</v>
      </c>
      <c r="G6" s="322" t="s">
        <v>328</v>
      </c>
      <c r="H6" s="322" t="s">
        <v>329</v>
      </c>
      <c r="I6" s="322" t="s">
        <v>330</v>
      </c>
      <c r="J6" s="322" t="s">
        <v>331</v>
      </c>
    </row>
    <row r="7" spans="2:10" ht="15">
      <c r="B7" s="323"/>
      <c r="C7" s="324"/>
      <c r="D7" s="325"/>
      <c r="E7" s="323"/>
      <c r="F7" s="325"/>
      <c r="G7" s="325"/>
      <c r="H7" s="326">
        <v>0.2</v>
      </c>
      <c r="I7" s="326">
        <v>0.5</v>
      </c>
      <c r="J7" s="325"/>
    </row>
    <row r="8" spans="2:10" ht="14.25">
      <c r="B8" s="327" t="s">
        <v>332</v>
      </c>
      <c r="C8" s="328"/>
      <c r="D8" s="329"/>
      <c r="E8" s="330"/>
      <c r="F8" s="331"/>
      <c r="G8" s="332"/>
      <c r="H8" s="332">
        <f>F8*$H$7</f>
        <v>0</v>
      </c>
      <c r="I8" s="332"/>
      <c r="J8" s="332">
        <f>G8+H8+I8</f>
        <v>0</v>
      </c>
    </row>
    <row r="9" spans="2:10" ht="14.25">
      <c r="B9" s="327" t="s">
        <v>333</v>
      </c>
      <c r="C9" s="328"/>
      <c r="D9" s="329"/>
      <c r="E9" s="330"/>
      <c r="F9" s="331"/>
      <c r="G9" s="332"/>
      <c r="H9" s="332">
        <f>F9*$H$7</f>
        <v>0</v>
      </c>
      <c r="I9" s="332"/>
      <c r="J9" s="332">
        <f>G9+H9+I9</f>
        <v>0</v>
      </c>
    </row>
    <row r="10" spans="2:10" ht="14.25">
      <c r="B10" s="327" t="s">
        <v>334</v>
      </c>
      <c r="C10" s="328"/>
      <c r="D10" s="329"/>
      <c r="E10" s="330"/>
      <c r="F10" s="331"/>
      <c r="G10" s="332"/>
      <c r="H10" s="332">
        <f>F10*$H$7</f>
        <v>0</v>
      </c>
      <c r="I10" s="332"/>
      <c r="J10" s="332">
        <f>G10+H10+I10</f>
        <v>0</v>
      </c>
    </row>
    <row r="11" spans="2:10" ht="14.25">
      <c r="B11" s="327"/>
      <c r="C11" s="328"/>
      <c r="D11" s="329"/>
      <c r="E11" s="330"/>
      <c r="F11" s="331"/>
      <c r="G11" s="332"/>
      <c r="H11" s="332">
        <f>F11*$H$7</f>
        <v>0</v>
      </c>
      <c r="I11" s="332"/>
      <c r="J11" s="332">
        <f>G11+H11+I11</f>
        <v>0</v>
      </c>
    </row>
    <row r="12" spans="2:10" ht="15.75">
      <c r="B12" s="333"/>
      <c r="C12" s="334"/>
      <c r="D12" s="333"/>
      <c r="E12" s="335" t="s">
        <v>138</v>
      </c>
      <c r="F12" s="336">
        <f>SUM(F8:F11)</f>
        <v>0</v>
      </c>
      <c r="G12" s="337"/>
      <c r="H12" s="337"/>
      <c r="I12" s="337"/>
      <c r="J12" s="336">
        <f>SUM(J8:J11)</f>
        <v>0</v>
      </c>
    </row>
    <row r="13" spans="2:10" ht="15.75" thickBot="1">
      <c r="B13" s="12"/>
      <c r="C13" s="338"/>
      <c r="D13" s="12"/>
      <c r="E13" s="12"/>
      <c r="F13" s="12"/>
      <c r="G13" s="12"/>
      <c r="H13" s="12"/>
      <c r="I13" s="12"/>
      <c r="J13" s="12"/>
    </row>
    <row r="14" spans="2:10" ht="15">
      <c r="B14" s="340" t="s">
        <v>335</v>
      </c>
      <c r="C14" s="341"/>
      <c r="D14" s="342">
        <v>0.54</v>
      </c>
      <c r="E14" s="350">
        <f>J12*D14</f>
        <v>0</v>
      </c>
      <c r="F14" s="12"/>
      <c r="G14" s="12"/>
      <c r="H14" s="12"/>
      <c r="I14" s="12"/>
      <c r="J14" s="12"/>
    </row>
    <row r="15" spans="2:10" ht="15">
      <c r="B15" s="345" t="s">
        <v>336</v>
      </c>
      <c r="C15" s="305"/>
      <c r="D15" s="346"/>
      <c r="E15" s="352">
        <f>J12+E14</f>
        <v>0</v>
      </c>
      <c r="J15" s="339"/>
    </row>
    <row r="16" spans="2:10" ht="14.25">
      <c r="B16" s="343" t="s">
        <v>337</v>
      </c>
      <c r="C16" s="305"/>
      <c r="D16" s="344">
        <v>0.24</v>
      </c>
      <c r="E16" s="351">
        <f>E15*D16</f>
        <v>0</v>
      </c>
      <c r="J16" s="339"/>
    </row>
    <row r="17" spans="2:10" ht="14.25">
      <c r="B17" s="343" t="s">
        <v>378</v>
      </c>
      <c r="C17" s="305"/>
      <c r="D17" s="347">
        <v>0.015</v>
      </c>
      <c r="E17" s="351">
        <f>E15*D17</f>
        <v>0</v>
      </c>
      <c r="J17" s="339"/>
    </row>
    <row r="18" spans="2:10" ht="15">
      <c r="B18" s="343" t="s">
        <v>377</v>
      </c>
      <c r="C18" s="154"/>
      <c r="D18" s="347">
        <v>0.005</v>
      </c>
      <c r="E18" s="351">
        <f>E15*D18</f>
        <v>0</v>
      </c>
      <c r="J18" s="339"/>
    </row>
    <row r="19" spans="2:10" ht="15.75" thickBot="1">
      <c r="B19" s="348" t="s">
        <v>379</v>
      </c>
      <c r="C19" s="349"/>
      <c r="D19" s="356">
        <v>0.01</v>
      </c>
      <c r="E19" s="353">
        <f>E15*D19</f>
        <v>0</v>
      </c>
      <c r="J19" s="339"/>
    </row>
    <row r="20" spans="2:10" ht="15.75">
      <c r="B20" s="12"/>
      <c r="C20" s="338"/>
      <c r="D20" s="12"/>
      <c r="E20" s="315" t="s">
        <v>323</v>
      </c>
      <c r="J20" s="12"/>
    </row>
    <row r="21" spans="2:10" ht="15">
      <c r="B21" s="12"/>
      <c r="C21" s="338"/>
      <c r="D21" s="12"/>
      <c r="E21" s="12"/>
      <c r="J21" s="12"/>
    </row>
    <row r="22" spans="1:10" ht="15.75">
      <c r="A22" s="318" t="s">
        <v>125</v>
      </c>
      <c r="B22" s="317"/>
      <c r="D22" s="185" t="str">
        <f>Adatlap!$A$17</f>
        <v>Próba Kft.</v>
      </c>
      <c r="E22" s="12"/>
      <c r="J22" s="12"/>
    </row>
    <row r="23" spans="1:10" ht="15.75">
      <c r="A23" s="318" t="s">
        <v>338</v>
      </c>
      <c r="B23" s="317"/>
      <c r="C23" s="319"/>
      <c r="D23" s="235" t="s">
        <v>351</v>
      </c>
      <c r="E23" s="12"/>
      <c r="J23" s="12"/>
    </row>
    <row r="24" spans="2:10" ht="15">
      <c r="B24" s="12"/>
      <c r="C24" s="338"/>
      <c r="D24" s="12"/>
      <c r="E24" s="12"/>
      <c r="J24" s="12"/>
    </row>
    <row r="25" spans="2:10" ht="45">
      <c r="B25" s="320" t="s">
        <v>324</v>
      </c>
      <c r="C25" s="321" t="s">
        <v>325</v>
      </c>
      <c r="D25" s="322" t="s">
        <v>326</v>
      </c>
      <c r="E25" s="320" t="s">
        <v>88</v>
      </c>
      <c r="F25" s="322" t="s">
        <v>327</v>
      </c>
      <c r="G25" s="322" t="s">
        <v>345</v>
      </c>
      <c r="H25" s="322" t="s">
        <v>329</v>
      </c>
      <c r="I25" s="322" t="s">
        <v>330</v>
      </c>
      <c r="J25" s="322" t="s">
        <v>331</v>
      </c>
    </row>
    <row r="26" spans="2:10" ht="15">
      <c r="B26" s="323"/>
      <c r="C26" s="324"/>
      <c r="D26" s="325"/>
      <c r="E26" s="323"/>
      <c r="F26" s="325"/>
      <c r="G26" s="325"/>
      <c r="H26" s="326">
        <v>0.2</v>
      </c>
      <c r="I26" s="326">
        <v>0.5</v>
      </c>
      <c r="J26" s="325"/>
    </row>
    <row r="27" spans="2:10" ht="14.25">
      <c r="B27" s="327" t="s">
        <v>332</v>
      </c>
      <c r="C27" s="328"/>
      <c r="D27" s="329"/>
      <c r="E27" s="330"/>
      <c r="F27" s="331"/>
      <c r="G27" s="332"/>
      <c r="H27" s="332">
        <f>F27*$H$7</f>
        <v>0</v>
      </c>
      <c r="I27" s="332"/>
      <c r="J27" s="332">
        <f>G27+H27+I27</f>
        <v>0</v>
      </c>
    </row>
    <row r="28" spans="2:10" ht="14.25">
      <c r="B28" s="327" t="s">
        <v>333</v>
      </c>
      <c r="C28" s="328"/>
      <c r="D28" s="329"/>
      <c r="E28" s="330"/>
      <c r="F28" s="331"/>
      <c r="G28" s="332"/>
      <c r="H28" s="332">
        <f>F28*$H$7</f>
        <v>0</v>
      </c>
      <c r="I28" s="332"/>
      <c r="J28" s="332">
        <f>G28+H28+I28</f>
        <v>0</v>
      </c>
    </row>
    <row r="29" spans="2:10" ht="14.25">
      <c r="B29" s="327" t="s">
        <v>334</v>
      </c>
      <c r="C29" s="328"/>
      <c r="D29" s="329"/>
      <c r="E29" s="330"/>
      <c r="F29" s="331"/>
      <c r="G29" s="332"/>
      <c r="H29" s="332">
        <f>F29*$H$7</f>
        <v>0</v>
      </c>
      <c r="I29" s="332"/>
      <c r="J29" s="332">
        <f>G29+H29+I29</f>
        <v>0</v>
      </c>
    </row>
    <row r="30" spans="2:10" ht="14.25">
      <c r="B30" s="327"/>
      <c r="C30" s="328"/>
      <c r="D30" s="329"/>
      <c r="E30" s="330"/>
      <c r="F30" s="331"/>
      <c r="G30" s="332"/>
      <c r="H30" s="332">
        <f>F30*$H$7</f>
        <v>0</v>
      </c>
      <c r="I30" s="332"/>
      <c r="J30" s="332">
        <f>G30+H30+I30</f>
        <v>0</v>
      </c>
    </row>
    <row r="31" spans="2:10" ht="15.75">
      <c r="B31" s="333"/>
      <c r="C31" s="334"/>
      <c r="D31" s="333"/>
      <c r="E31" s="335" t="s">
        <v>138</v>
      </c>
      <c r="F31" s="336">
        <f>SUM(F27:F30)</f>
        <v>0</v>
      </c>
      <c r="G31" s="337"/>
      <c r="H31" s="337"/>
      <c r="I31" s="337"/>
      <c r="J31" s="336">
        <f>SUM(J27:J30)</f>
        <v>0</v>
      </c>
    </row>
    <row r="32" spans="2:10" ht="15.75" thickBot="1">
      <c r="B32" s="12"/>
      <c r="C32" s="338"/>
      <c r="D32" s="12"/>
      <c r="E32" s="12"/>
      <c r="F32" s="12"/>
      <c r="G32" s="12"/>
      <c r="H32" s="12"/>
      <c r="I32" s="12"/>
      <c r="J32" s="12"/>
    </row>
    <row r="33" spans="2:10" ht="15">
      <c r="B33" s="340" t="s">
        <v>335</v>
      </c>
      <c r="C33" s="341"/>
      <c r="D33" s="342">
        <v>0.54</v>
      </c>
      <c r="E33" s="350">
        <f>J31*D33</f>
        <v>0</v>
      </c>
      <c r="F33" s="12"/>
      <c r="G33" s="12"/>
      <c r="H33" s="12"/>
      <c r="I33" s="12"/>
      <c r="J33" s="12"/>
    </row>
    <row r="34" spans="2:10" ht="15">
      <c r="B34" s="345" t="s">
        <v>336</v>
      </c>
      <c r="C34" s="305"/>
      <c r="D34" s="346"/>
      <c r="E34" s="352">
        <f>J31+E33</f>
        <v>0</v>
      </c>
      <c r="J34" s="339"/>
    </row>
    <row r="35" spans="2:10" ht="14.25">
      <c r="B35" s="343" t="s">
        <v>337</v>
      </c>
      <c r="C35" s="305"/>
      <c r="D35" s="344">
        <v>0.24</v>
      </c>
      <c r="E35" s="351">
        <f>E34*D35</f>
        <v>0</v>
      </c>
      <c r="J35" s="339"/>
    </row>
    <row r="36" spans="2:10" ht="14.25">
      <c r="B36" s="343" t="s">
        <v>378</v>
      </c>
      <c r="C36" s="305"/>
      <c r="D36" s="347">
        <v>0.015</v>
      </c>
      <c r="E36" s="351">
        <f>E34*D36</f>
        <v>0</v>
      </c>
      <c r="J36" s="339"/>
    </row>
    <row r="37" spans="2:10" ht="15">
      <c r="B37" s="343" t="s">
        <v>377</v>
      </c>
      <c r="C37" s="154"/>
      <c r="D37" s="347">
        <v>0.005</v>
      </c>
      <c r="E37" s="351">
        <f>E34*D37</f>
        <v>0</v>
      </c>
      <c r="J37" s="339"/>
    </row>
    <row r="38" spans="2:10" ht="15.75" thickBot="1">
      <c r="B38" s="348" t="s">
        <v>379</v>
      </c>
      <c r="C38" s="349"/>
      <c r="D38" s="356">
        <v>0.01</v>
      </c>
      <c r="E38" s="353">
        <f>E34*D38</f>
        <v>0</v>
      </c>
      <c r="J38" s="339"/>
    </row>
    <row r="39" spans="2:10" ht="15.75">
      <c r="B39" s="12"/>
      <c r="C39" s="338"/>
      <c r="D39" s="12"/>
      <c r="E39" s="315" t="s">
        <v>323</v>
      </c>
      <c r="J39" s="339"/>
    </row>
    <row r="40" spans="2:10" ht="15">
      <c r="B40" s="12"/>
      <c r="C40" s="338"/>
      <c r="D40" s="12"/>
      <c r="E40" s="12"/>
      <c r="J40" s="339"/>
    </row>
    <row r="41" spans="1:10" ht="15.75">
      <c r="A41" s="318" t="s">
        <v>125</v>
      </c>
      <c r="B41" s="317"/>
      <c r="D41" s="185" t="str">
        <f>Adatlap!$A$17</f>
        <v>Próba Kft.</v>
      </c>
      <c r="E41" s="12"/>
      <c r="J41" s="339"/>
    </row>
    <row r="42" spans="1:10" ht="15.75">
      <c r="A42" s="318" t="s">
        <v>338</v>
      </c>
      <c r="B42" s="317"/>
      <c r="C42" s="319"/>
      <c r="D42" s="235" t="s">
        <v>352</v>
      </c>
      <c r="E42" s="12"/>
      <c r="J42" s="339"/>
    </row>
    <row r="43" spans="2:10" ht="15">
      <c r="B43" s="305"/>
      <c r="C43" s="154"/>
      <c r="D43" s="347"/>
      <c r="E43" s="357"/>
      <c r="J43" s="339"/>
    </row>
    <row r="44" spans="2:10" ht="45">
      <c r="B44" s="320" t="s">
        <v>324</v>
      </c>
      <c r="C44" s="321" t="s">
        <v>325</v>
      </c>
      <c r="D44" s="322" t="s">
        <v>326</v>
      </c>
      <c r="E44" s="320" t="s">
        <v>88</v>
      </c>
      <c r="F44" s="322" t="s">
        <v>327</v>
      </c>
      <c r="G44" s="322" t="s">
        <v>328</v>
      </c>
      <c r="H44" s="322" t="s">
        <v>329</v>
      </c>
      <c r="I44" s="322" t="s">
        <v>330</v>
      </c>
      <c r="J44" s="322" t="s">
        <v>331</v>
      </c>
    </row>
    <row r="45" spans="2:10" ht="15">
      <c r="B45" s="323"/>
      <c r="C45" s="324"/>
      <c r="D45" s="325"/>
      <c r="E45" s="323"/>
      <c r="F45" s="325"/>
      <c r="G45" s="325"/>
      <c r="H45" s="326">
        <v>0.2</v>
      </c>
      <c r="I45" s="326">
        <v>0.5</v>
      </c>
      <c r="J45" s="325"/>
    </row>
    <row r="46" spans="2:10" ht="14.25">
      <c r="B46" s="327" t="s">
        <v>332</v>
      </c>
      <c r="C46" s="328"/>
      <c r="D46" s="329"/>
      <c r="E46" s="330"/>
      <c r="F46" s="331"/>
      <c r="G46" s="332"/>
      <c r="H46" s="332">
        <f>F46*$H$7</f>
        <v>0</v>
      </c>
      <c r="I46" s="332"/>
      <c r="J46" s="332">
        <f>G46+H46+I46</f>
        <v>0</v>
      </c>
    </row>
    <row r="47" spans="2:10" ht="14.25">
      <c r="B47" s="327" t="s">
        <v>333</v>
      </c>
      <c r="C47" s="328"/>
      <c r="D47" s="329"/>
      <c r="E47" s="330"/>
      <c r="F47" s="331"/>
      <c r="G47" s="332"/>
      <c r="H47" s="332">
        <f>F47*$H$7</f>
        <v>0</v>
      </c>
      <c r="I47" s="332"/>
      <c r="J47" s="332">
        <f>G47+H47+I47</f>
        <v>0</v>
      </c>
    </row>
    <row r="48" spans="2:10" ht="14.25">
      <c r="B48" s="327" t="s">
        <v>334</v>
      </c>
      <c r="C48" s="328"/>
      <c r="D48" s="329"/>
      <c r="E48" s="330"/>
      <c r="F48" s="331"/>
      <c r="G48" s="332"/>
      <c r="H48" s="332">
        <f>F48*$H$7</f>
        <v>0</v>
      </c>
      <c r="I48" s="332"/>
      <c r="J48" s="332">
        <f>G48+H48+I48</f>
        <v>0</v>
      </c>
    </row>
    <row r="49" spans="2:10" ht="14.25">
      <c r="B49" s="327"/>
      <c r="C49" s="328"/>
      <c r="D49" s="329"/>
      <c r="E49" s="330"/>
      <c r="F49" s="331"/>
      <c r="G49" s="332"/>
      <c r="H49" s="332">
        <f>F49*$H$7</f>
        <v>0</v>
      </c>
      <c r="I49" s="332"/>
      <c r="J49" s="332">
        <f>G49+H49+I49</f>
        <v>0</v>
      </c>
    </row>
    <row r="50" spans="2:10" ht="15.75">
      <c r="B50" s="333"/>
      <c r="C50" s="334"/>
      <c r="D50" s="333"/>
      <c r="E50" s="335" t="s">
        <v>138</v>
      </c>
      <c r="F50" s="336">
        <f>SUM(F46:F49)</f>
        <v>0</v>
      </c>
      <c r="G50" s="337"/>
      <c r="H50" s="337"/>
      <c r="I50" s="337"/>
      <c r="J50" s="336">
        <f>SUM(J46:J49)</f>
        <v>0</v>
      </c>
    </row>
    <row r="51" spans="2:10" ht="15.75" thickBot="1">
      <c r="B51" s="12"/>
      <c r="C51" s="338"/>
      <c r="D51" s="12"/>
      <c r="E51" s="12"/>
      <c r="F51" s="12"/>
      <c r="G51" s="12"/>
      <c r="H51" s="12"/>
      <c r="I51" s="12"/>
      <c r="J51" s="12"/>
    </row>
    <row r="52" spans="2:10" ht="15">
      <c r="B52" s="340" t="s">
        <v>335</v>
      </c>
      <c r="C52" s="341"/>
      <c r="D52" s="342">
        <v>0.54</v>
      </c>
      <c r="E52" s="350">
        <f>J50*D52</f>
        <v>0</v>
      </c>
      <c r="F52" s="12"/>
      <c r="G52" s="12"/>
      <c r="H52" s="12"/>
      <c r="I52" s="12"/>
      <c r="J52" s="12"/>
    </row>
    <row r="53" spans="2:10" ht="15">
      <c r="B53" s="345" t="s">
        <v>336</v>
      </c>
      <c r="C53" s="305"/>
      <c r="D53" s="346"/>
      <c r="E53" s="352">
        <f>J50+E52</f>
        <v>0</v>
      </c>
      <c r="J53" s="339"/>
    </row>
    <row r="54" spans="2:10" ht="14.25">
      <c r="B54" s="343" t="s">
        <v>337</v>
      </c>
      <c r="C54" s="305"/>
      <c r="D54" s="344">
        <v>0.24</v>
      </c>
      <c r="E54" s="351">
        <f>E53*D54</f>
        <v>0</v>
      </c>
      <c r="J54" s="339"/>
    </row>
    <row r="55" spans="2:10" ht="14.25">
      <c r="B55" s="343" t="s">
        <v>378</v>
      </c>
      <c r="C55" s="305"/>
      <c r="D55" s="347">
        <v>0.015</v>
      </c>
      <c r="E55" s="351">
        <f>E53*D55</f>
        <v>0</v>
      </c>
      <c r="J55" s="339"/>
    </row>
    <row r="56" spans="2:10" ht="15">
      <c r="B56" s="343" t="s">
        <v>377</v>
      </c>
      <c r="C56" s="154"/>
      <c r="D56" s="347">
        <v>0.005</v>
      </c>
      <c r="E56" s="351">
        <f>E53*D56</f>
        <v>0</v>
      </c>
      <c r="J56" s="339"/>
    </row>
    <row r="57" spans="2:5" ht="15.75" thickBot="1">
      <c r="B57" s="348" t="s">
        <v>379</v>
      </c>
      <c r="C57" s="349"/>
      <c r="D57" s="356">
        <v>0.01</v>
      </c>
      <c r="E57" s="353">
        <f>E53*D57</f>
        <v>0</v>
      </c>
    </row>
    <row r="58" spans="2:5" ht="15.75">
      <c r="B58" s="12"/>
      <c r="C58" s="338"/>
      <c r="D58" s="12"/>
      <c r="E58" s="315" t="s">
        <v>323</v>
      </c>
    </row>
    <row r="59" spans="2:5" ht="15">
      <c r="B59" s="12"/>
      <c r="C59" s="338"/>
      <c r="D59" s="12"/>
      <c r="E59" s="12"/>
    </row>
    <row r="60" spans="1:5" ht="15.75">
      <c r="A60" s="318" t="s">
        <v>125</v>
      </c>
      <c r="B60" s="317"/>
      <c r="D60" s="185" t="str">
        <f>Adatlap!$A$17</f>
        <v>Próba Kft.</v>
      </c>
      <c r="E60" s="12"/>
    </row>
    <row r="61" spans="1:5" ht="15.75">
      <c r="A61" s="318" t="s">
        <v>338</v>
      </c>
      <c r="B61" s="317"/>
      <c r="C61" s="319"/>
      <c r="D61" s="235" t="s">
        <v>353</v>
      </c>
      <c r="E61" s="12"/>
    </row>
    <row r="62" spans="1:10" ht="14.25">
      <c r="A62" s="235"/>
      <c r="B62" s="241"/>
      <c r="C62" s="317"/>
      <c r="D62" s="241"/>
      <c r="E62" s="241"/>
      <c r="F62" s="241"/>
      <c r="G62" s="241"/>
      <c r="H62" s="241"/>
      <c r="I62" s="241"/>
      <c r="J62" s="241"/>
    </row>
    <row r="63" spans="2:10" ht="45">
      <c r="B63" s="320" t="s">
        <v>324</v>
      </c>
      <c r="C63" s="321" t="s">
        <v>325</v>
      </c>
      <c r="D63" s="322" t="s">
        <v>326</v>
      </c>
      <c r="E63" s="320" t="s">
        <v>88</v>
      </c>
      <c r="F63" s="322" t="s">
        <v>327</v>
      </c>
      <c r="G63" s="322" t="s">
        <v>328</v>
      </c>
      <c r="H63" s="322" t="s">
        <v>329</v>
      </c>
      <c r="I63" s="322" t="s">
        <v>330</v>
      </c>
      <c r="J63" s="322" t="s">
        <v>331</v>
      </c>
    </row>
    <row r="64" spans="2:10" ht="15">
      <c r="B64" s="323"/>
      <c r="C64" s="324"/>
      <c r="D64" s="325"/>
      <c r="E64" s="323"/>
      <c r="F64" s="325"/>
      <c r="G64" s="325"/>
      <c r="H64" s="326">
        <v>0.2</v>
      </c>
      <c r="I64" s="326">
        <v>0.5</v>
      </c>
      <c r="J64" s="325"/>
    </row>
    <row r="65" spans="2:10" ht="14.25">
      <c r="B65" s="327" t="s">
        <v>332</v>
      </c>
      <c r="C65" s="328"/>
      <c r="D65" s="329"/>
      <c r="E65" s="330"/>
      <c r="F65" s="331"/>
      <c r="G65" s="332"/>
      <c r="H65" s="332">
        <f>F65*$H$7</f>
        <v>0</v>
      </c>
      <c r="I65" s="332"/>
      <c r="J65" s="332">
        <f>G65+H65+I65</f>
        <v>0</v>
      </c>
    </row>
    <row r="66" spans="2:10" ht="14.25">
      <c r="B66" s="327" t="s">
        <v>333</v>
      </c>
      <c r="C66" s="328"/>
      <c r="D66" s="329"/>
      <c r="E66" s="330"/>
      <c r="F66" s="331"/>
      <c r="G66" s="332"/>
      <c r="H66" s="332">
        <f>F66*$H$7</f>
        <v>0</v>
      </c>
      <c r="I66" s="332"/>
      <c r="J66" s="332">
        <f>G66+H66+I66</f>
        <v>0</v>
      </c>
    </row>
    <row r="67" spans="2:10" ht="14.25">
      <c r="B67" s="327" t="s">
        <v>334</v>
      </c>
      <c r="C67" s="328"/>
      <c r="D67" s="329"/>
      <c r="E67" s="330"/>
      <c r="F67" s="331"/>
      <c r="G67" s="332"/>
      <c r="H67" s="332">
        <f>F67*$H$7</f>
        <v>0</v>
      </c>
      <c r="I67" s="332"/>
      <c r="J67" s="332">
        <f>G67+H67+I67</f>
        <v>0</v>
      </c>
    </row>
    <row r="68" spans="2:10" ht="14.25">
      <c r="B68" s="327"/>
      <c r="C68" s="328"/>
      <c r="D68" s="329"/>
      <c r="E68" s="330"/>
      <c r="F68" s="331"/>
      <c r="G68" s="332"/>
      <c r="H68" s="332">
        <f>F68*$H$7</f>
        <v>0</v>
      </c>
      <c r="I68" s="332"/>
      <c r="J68" s="332">
        <f>G68+H68+I68</f>
        <v>0</v>
      </c>
    </row>
    <row r="69" spans="2:10" ht="15.75">
      <c r="B69" s="333"/>
      <c r="C69" s="334"/>
      <c r="D69" s="333"/>
      <c r="E69" s="335" t="s">
        <v>138</v>
      </c>
      <c r="F69" s="336">
        <f>SUM(F65:F68)</f>
        <v>0</v>
      </c>
      <c r="G69" s="337"/>
      <c r="H69" s="337"/>
      <c r="I69" s="337"/>
      <c r="J69" s="336">
        <f>SUM(J65:J68)</f>
        <v>0</v>
      </c>
    </row>
    <row r="70" spans="2:10" ht="15.75" thickBot="1">
      <c r="B70" s="12"/>
      <c r="C70" s="338"/>
      <c r="D70" s="12"/>
      <c r="E70" s="12"/>
      <c r="F70" s="12"/>
      <c r="G70" s="12"/>
      <c r="H70" s="12"/>
      <c r="I70" s="12"/>
      <c r="J70" s="12"/>
    </row>
    <row r="71" spans="2:10" ht="15">
      <c r="B71" s="340" t="s">
        <v>335</v>
      </c>
      <c r="C71" s="341"/>
      <c r="D71" s="342">
        <v>0.54</v>
      </c>
      <c r="E71" s="350">
        <f>J69*D71</f>
        <v>0</v>
      </c>
      <c r="F71" s="12"/>
      <c r="G71" s="12"/>
      <c r="H71" s="12"/>
      <c r="I71" s="12"/>
      <c r="J71" s="12"/>
    </row>
    <row r="72" spans="2:10" ht="15">
      <c r="B72" s="345" t="s">
        <v>336</v>
      </c>
      <c r="C72" s="305"/>
      <c r="D72" s="346"/>
      <c r="E72" s="352">
        <f>J69+E71</f>
        <v>0</v>
      </c>
      <c r="J72" s="339"/>
    </row>
    <row r="73" spans="2:10" ht="14.25">
      <c r="B73" s="343" t="s">
        <v>337</v>
      </c>
      <c r="C73" s="305"/>
      <c r="D73" s="344">
        <v>0.24</v>
      </c>
      <c r="E73" s="351">
        <f>E72*D73</f>
        <v>0</v>
      </c>
      <c r="J73" s="339"/>
    </row>
    <row r="74" spans="2:10" ht="14.25">
      <c r="B74" s="343" t="s">
        <v>378</v>
      </c>
      <c r="C74" s="305"/>
      <c r="D74" s="347">
        <v>0.015</v>
      </c>
      <c r="E74" s="351">
        <f>E72*D74</f>
        <v>0</v>
      </c>
      <c r="J74" s="339"/>
    </row>
    <row r="75" spans="2:10" ht="15">
      <c r="B75" s="343" t="s">
        <v>377</v>
      </c>
      <c r="C75" s="154"/>
      <c r="D75" s="347">
        <v>0.005</v>
      </c>
      <c r="E75" s="351">
        <f>E72*D75</f>
        <v>0</v>
      </c>
      <c r="J75" s="339"/>
    </row>
    <row r="76" spans="2:10" ht="15.75" thickBot="1">
      <c r="B76" s="348" t="s">
        <v>379</v>
      </c>
      <c r="C76" s="349"/>
      <c r="D76" s="356">
        <v>0.01</v>
      </c>
      <c r="E76" s="353">
        <f>E72*D76</f>
        <v>0</v>
      </c>
      <c r="J76" s="339"/>
    </row>
    <row r="77" spans="2:5" ht="15.75">
      <c r="B77" s="12"/>
      <c r="C77" s="338"/>
      <c r="D77" s="12"/>
      <c r="E77" s="315" t="s">
        <v>323</v>
      </c>
    </row>
    <row r="78" spans="2:5" ht="15">
      <c r="B78" s="12"/>
      <c r="C78" s="338"/>
      <c r="D78" s="12"/>
      <c r="E78" s="12"/>
    </row>
    <row r="79" spans="1:5" ht="15.75">
      <c r="A79" s="318" t="s">
        <v>125</v>
      </c>
      <c r="B79" s="317"/>
      <c r="D79" s="185" t="str">
        <f>Adatlap!$A$17</f>
        <v>Próba Kft.</v>
      </c>
      <c r="E79" s="12"/>
    </row>
    <row r="80" spans="1:5" ht="15.75">
      <c r="A80" s="318" t="s">
        <v>338</v>
      </c>
      <c r="B80" s="317"/>
      <c r="C80" s="319"/>
      <c r="D80" s="235" t="s">
        <v>354</v>
      </c>
      <c r="E80" s="12"/>
    </row>
    <row r="82" spans="2:10" ht="45">
      <c r="B82" s="320" t="s">
        <v>324</v>
      </c>
      <c r="C82" s="321" t="s">
        <v>325</v>
      </c>
      <c r="D82" s="322" t="s">
        <v>326</v>
      </c>
      <c r="E82" s="320" t="s">
        <v>88</v>
      </c>
      <c r="F82" s="322" t="s">
        <v>327</v>
      </c>
      <c r="G82" s="322" t="s">
        <v>328</v>
      </c>
      <c r="H82" s="322" t="s">
        <v>329</v>
      </c>
      <c r="I82" s="322" t="s">
        <v>330</v>
      </c>
      <c r="J82" s="322" t="s">
        <v>331</v>
      </c>
    </row>
    <row r="83" spans="2:10" ht="15">
      <c r="B83" s="323"/>
      <c r="C83" s="324"/>
      <c r="D83" s="325"/>
      <c r="E83" s="323"/>
      <c r="F83" s="325"/>
      <c r="G83" s="325"/>
      <c r="H83" s="326">
        <v>0.2</v>
      </c>
      <c r="I83" s="326">
        <v>0.5</v>
      </c>
      <c r="J83" s="325"/>
    </row>
    <row r="84" spans="2:10" ht="14.25">
      <c r="B84" s="327" t="s">
        <v>332</v>
      </c>
      <c r="C84" s="328"/>
      <c r="D84" s="329"/>
      <c r="E84" s="330"/>
      <c r="F84" s="331"/>
      <c r="G84" s="332"/>
      <c r="H84" s="332">
        <f>F84*$H$7</f>
        <v>0</v>
      </c>
      <c r="I84" s="332"/>
      <c r="J84" s="332">
        <f>G84+H84+I84</f>
        <v>0</v>
      </c>
    </row>
    <row r="85" spans="2:10" ht="14.25">
      <c r="B85" s="327" t="s">
        <v>333</v>
      </c>
      <c r="C85" s="328"/>
      <c r="D85" s="329"/>
      <c r="E85" s="330"/>
      <c r="F85" s="331"/>
      <c r="G85" s="332"/>
      <c r="H85" s="332">
        <f>F85*$H$7</f>
        <v>0</v>
      </c>
      <c r="I85" s="332"/>
      <c r="J85" s="332">
        <f>G85+H85+I85</f>
        <v>0</v>
      </c>
    </row>
    <row r="86" spans="2:10" ht="14.25">
      <c r="B86" s="327" t="s">
        <v>334</v>
      </c>
      <c r="C86" s="328"/>
      <c r="D86" s="329"/>
      <c r="E86" s="330"/>
      <c r="F86" s="331"/>
      <c r="G86" s="332"/>
      <c r="H86" s="332">
        <f>F86*$H$7</f>
        <v>0</v>
      </c>
      <c r="I86" s="332"/>
      <c r="J86" s="332">
        <f>G86+H86+I86</f>
        <v>0</v>
      </c>
    </row>
    <row r="87" spans="2:10" ht="14.25">
      <c r="B87" s="327"/>
      <c r="C87" s="328"/>
      <c r="D87" s="329"/>
      <c r="E87" s="330"/>
      <c r="F87" s="331"/>
      <c r="G87" s="332"/>
      <c r="H87" s="332">
        <f>F87*$H$7</f>
        <v>0</v>
      </c>
      <c r="I87" s="332"/>
      <c r="J87" s="332">
        <f>G87+H87+I87</f>
        <v>0</v>
      </c>
    </row>
    <row r="88" spans="2:10" ht="15.75">
      <c r="B88" s="333"/>
      <c r="C88" s="334"/>
      <c r="D88" s="333"/>
      <c r="E88" s="335" t="s">
        <v>138</v>
      </c>
      <c r="F88" s="336">
        <f>SUM(F84:F87)</f>
        <v>0</v>
      </c>
      <c r="G88" s="337"/>
      <c r="H88" s="337"/>
      <c r="I88" s="337"/>
      <c r="J88" s="336">
        <f>SUM(J84:J87)</f>
        <v>0</v>
      </c>
    </row>
    <row r="89" spans="2:10" ht="15.75" thickBot="1">
      <c r="B89" s="12"/>
      <c r="C89" s="338"/>
      <c r="D89" s="12"/>
      <c r="E89" s="12"/>
      <c r="F89" s="12"/>
      <c r="G89" s="12"/>
      <c r="H89" s="12"/>
      <c r="I89" s="12"/>
      <c r="J89" s="12"/>
    </row>
    <row r="90" spans="2:10" ht="15">
      <c r="B90" s="340" t="s">
        <v>335</v>
      </c>
      <c r="C90" s="341"/>
      <c r="D90" s="342">
        <v>0.54</v>
      </c>
      <c r="E90" s="350">
        <f>J88*D90</f>
        <v>0</v>
      </c>
      <c r="F90" s="12"/>
      <c r="G90" s="12"/>
      <c r="H90" s="12"/>
      <c r="I90" s="12"/>
      <c r="J90" s="12"/>
    </row>
    <row r="91" spans="2:10" ht="15">
      <c r="B91" s="345" t="s">
        <v>336</v>
      </c>
      <c r="C91" s="305"/>
      <c r="D91" s="346"/>
      <c r="E91" s="352">
        <f>J88+E90</f>
        <v>0</v>
      </c>
      <c r="J91" s="339"/>
    </row>
    <row r="92" spans="2:10" ht="14.25">
      <c r="B92" s="343" t="s">
        <v>337</v>
      </c>
      <c r="C92" s="305"/>
      <c r="D92" s="344">
        <v>0.24</v>
      </c>
      <c r="E92" s="351">
        <f>E91*D92</f>
        <v>0</v>
      </c>
      <c r="J92" s="339"/>
    </row>
    <row r="93" spans="2:10" ht="14.25">
      <c r="B93" s="343" t="s">
        <v>378</v>
      </c>
      <c r="C93" s="305"/>
      <c r="D93" s="347">
        <v>0.015</v>
      </c>
      <c r="E93" s="351">
        <f>E91*D93</f>
        <v>0</v>
      </c>
      <c r="J93" s="339"/>
    </row>
    <row r="94" spans="2:10" ht="15">
      <c r="B94" s="343" t="s">
        <v>377</v>
      </c>
      <c r="C94" s="154"/>
      <c r="D94" s="347">
        <v>0.005</v>
      </c>
      <c r="E94" s="351">
        <f>E91*D94</f>
        <v>0</v>
      </c>
      <c r="J94" s="339"/>
    </row>
    <row r="95" spans="2:5" ht="15.75" thickBot="1">
      <c r="B95" s="348" t="s">
        <v>379</v>
      </c>
      <c r="C95" s="349"/>
      <c r="D95" s="356">
        <v>0.01</v>
      </c>
      <c r="E95" s="353">
        <f>E91*D95</f>
        <v>0</v>
      </c>
    </row>
    <row r="96" spans="2:5" ht="15.75">
      <c r="B96" s="12"/>
      <c r="C96" s="338"/>
      <c r="D96" s="12"/>
      <c r="E96" s="315" t="s">
        <v>323</v>
      </c>
    </row>
    <row r="97" spans="2:5" ht="15">
      <c r="B97" s="12"/>
      <c r="C97" s="338"/>
      <c r="D97" s="12"/>
      <c r="E97" s="12"/>
    </row>
    <row r="98" spans="1:5" ht="15.75">
      <c r="A98" s="318" t="s">
        <v>125</v>
      </c>
      <c r="B98" s="317"/>
      <c r="D98" s="185" t="str">
        <f>Adatlap!$A$17</f>
        <v>Próba Kft.</v>
      </c>
      <c r="E98" s="12"/>
    </row>
    <row r="99" spans="1:5" ht="15.75">
      <c r="A99" s="318" t="s">
        <v>338</v>
      </c>
      <c r="B99" s="317"/>
      <c r="C99" s="319"/>
      <c r="D99" s="235" t="s">
        <v>355</v>
      </c>
      <c r="E99" s="12"/>
    </row>
    <row r="101" spans="2:10" ht="45">
      <c r="B101" s="320" t="s">
        <v>324</v>
      </c>
      <c r="C101" s="321" t="s">
        <v>325</v>
      </c>
      <c r="D101" s="322" t="s">
        <v>326</v>
      </c>
      <c r="E101" s="320" t="s">
        <v>88</v>
      </c>
      <c r="F101" s="322" t="s">
        <v>327</v>
      </c>
      <c r="G101" s="322" t="s">
        <v>328</v>
      </c>
      <c r="H101" s="322" t="s">
        <v>329</v>
      </c>
      <c r="I101" s="322" t="s">
        <v>330</v>
      </c>
      <c r="J101" s="322" t="s">
        <v>331</v>
      </c>
    </row>
    <row r="102" spans="2:10" ht="15">
      <c r="B102" s="323"/>
      <c r="C102" s="324"/>
      <c r="D102" s="325"/>
      <c r="E102" s="323"/>
      <c r="F102" s="325"/>
      <c r="G102" s="325"/>
      <c r="H102" s="326">
        <v>0.2</v>
      </c>
      <c r="I102" s="326">
        <v>0.5</v>
      </c>
      <c r="J102" s="325"/>
    </row>
    <row r="103" spans="2:10" ht="14.25">
      <c r="B103" s="327" t="s">
        <v>332</v>
      </c>
      <c r="C103" s="328"/>
      <c r="D103" s="329"/>
      <c r="E103" s="330"/>
      <c r="F103" s="331"/>
      <c r="G103" s="332"/>
      <c r="H103" s="332">
        <f>F103*$H$7</f>
        <v>0</v>
      </c>
      <c r="I103" s="332"/>
      <c r="J103" s="332">
        <f>G103+H103+I103</f>
        <v>0</v>
      </c>
    </row>
    <row r="104" spans="2:10" ht="14.25">
      <c r="B104" s="327" t="s">
        <v>333</v>
      </c>
      <c r="C104" s="328"/>
      <c r="D104" s="329"/>
      <c r="E104" s="330"/>
      <c r="F104" s="331"/>
      <c r="G104" s="332"/>
      <c r="H104" s="332">
        <f>F104*$H$7</f>
        <v>0</v>
      </c>
      <c r="I104" s="332"/>
      <c r="J104" s="332">
        <f>G104+H104+I104</f>
        <v>0</v>
      </c>
    </row>
    <row r="105" spans="2:10" ht="14.25">
      <c r="B105" s="327" t="s">
        <v>334</v>
      </c>
      <c r="C105" s="328"/>
      <c r="D105" s="329"/>
      <c r="E105" s="330"/>
      <c r="F105" s="331"/>
      <c r="G105" s="332"/>
      <c r="H105" s="332">
        <f>F105*$H$7</f>
        <v>0</v>
      </c>
      <c r="I105" s="332"/>
      <c r="J105" s="332">
        <f>G105+H105+I105</f>
        <v>0</v>
      </c>
    </row>
    <row r="106" spans="2:10" ht="14.25">
      <c r="B106" s="327"/>
      <c r="C106" s="328"/>
      <c r="D106" s="329"/>
      <c r="E106" s="330"/>
      <c r="F106" s="331"/>
      <c r="G106" s="332"/>
      <c r="H106" s="332">
        <f>F106*$H$7</f>
        <v>0</v>
      </c>
      <c r="I106" s="332"/>
      <c r="J106" s="332">
        <f>G106+H106+I106</f>
        <v>0</v>
      </c>
    </row>
    <row r="107" spans="2:10" ht="15.75">
      <c r="B107" s="333"/>
      <c r="C107" s="334"/>
      <c r="D107" s="333"/>
      <c r="E107" s="335" t="s">
        <v>138</v>
      </c>
      <c r="F107" s="336">
        <f>SUM(F103:F106)</f>
        <v>0</v>
      </c>
      <c r="G107" s="337"/>
      <c r="H107" s="337"/>
      <c r="I107" s="337"/>
      <c r="J107" s="336">
        <f>SUM(J103:J106)</f>
        <v>0</v>
      </c>
    </row>
    <row r="108" spans="2:10" ht="15.75" thickBot="1">
      <c r="B108" s="12"/>
      <c r="C108" s="338"/>
      <c r="D108" s="12"/>
      <c r="E108" s="12"/>
      <c r="F108" s="12"/>
      <c r="G108" s="12"/>
      <c r="H108" s="12"/>
      <c r="I108" s="12"/>
      <c r="J108" s="12"/>
    </row>
    <row r="109" spans="2:10" ht="15.75" thickBot="1">
      <c r="B109" s="340" t="s">
        <v>335</v>
      </c>
      <c r="C109" s="341"/>
      <c r="D109" s="342">
        <v>0.54</v>
      </c>
      <c r="E109" s="350">
        <f>J107*D109</f>
        <v>0</v>
      </c>
      <c r="F109" s="12"/>
      <c r="G109" s="12"/>
      <c r="H109" s="12"/>
      <c r="I109" s="12"/>
      <c r="J109" s="12"/>
    </row>
    <row r="110" spans="2:10" ht="15.75" thickBot="1">
      <c r="B110" s="345" t="s">
        <v>336</v>
      </c>
      <c r="C110" s="305"/>
      <c r="D110" s="346"/>
      <c r="E110" s="352">
        <f>J107+E109</f>
        <v>0</v>
      </c>
      <c r="G110" s="266" t="s">
        <v>339</v>
      </c>
      <c r="H110" s="354"/>
      <c r="I110" s="354"/>
      <c r="J110" s="355">
        <f>+E110+E91+E72+E53+E15+E34</f>
        <v>0</v>
      </c>
    </row>
    <row r="111" spans="2:10" ht="14.25">
      <c r="B111" s="343" t="s">
        <v>337</v>
      </c>
      <c r="C111" s="305"/>
      <c r="D111" s="344">
        <v>0.24</v>
      </c>
      <c r="E111" s="351">
        <f>E110*D111</f>
        <v>0</v>
      </c>
      <c r="J111" s="339"/>
    </row>
    <row r="112" spans="2:10" ht="14.25">
      <c r="B112" s="343" t="s">
        <v>378</v>
      </c>
      <c r="C112" s="305"/>
      <c r="D112" s="347">
        <v>0.015</v>
      </c>
      <c r="E112" s="351">
        <f>E110*D112</f>
        <v>0</v>
      </c>
      <c r="J112" s="339"/>
    </row>
    <row r="113" spans="2:10" ht="15">
      <c r="B113" s="343" t="s">
        <v>377</v>
      </c>
      <c r="C113" s="154"/>
      <c r="D113" s="347">
        <v>0.005</v>
      </c>
      <c r="E113" s="351">
        <f>E110*D113</f>
        <v>0</v>
      </c>
      <c r="J113" s="339"/>
    </row>
    <row r="114" spans="2:5" ht="15.75" thickBot="1">
      <c r="B114" s="348" t="s">
        <v>379</v>
      </c>
      <c r="C114" s="349"/>
      <c r="D114" s="356">
        <v>0.01</v>
      </c>
      <c r="E114" s="353">
        <f>J107*D114</f>
        <v>0</v>
      </c>
    </row>
    <row r="115" spans="2:5" ht="15.75">
      <c r="B115" s="12"/>
      <c r="C115" s="338"/>
      <c r="D115" s="12"/>
      <c r="E115" s="315" t="s">
        <v>323</v>
      </c>
    </row>
    <row r="116" spans="2:5" ht="15">
      <c r="B116" s="12"/>
      <c r="C116" s="338"/>
      <c r="D116" s="12"/>
      <c r="E116" s="12"/>
    </row>
    <row r="117" spans="1:5" ht="15.75">
      <c r="A117" s="318" t="s">
        <v>125</v>
      </c>
      <c r="B117" s="317"/>
      <c r="D117" s="185" t="str">
        <f>Adatlap!$A$17</f>
        <v>Próba Kft.</v>
      </c>
      <c r="E117" s="12"/>
    </row>
    <row r="118" spans="1:5" ht="15.75">
      <c r="A118" s="318" t="s">
        <v>338</v>
      </c>
      <c r="B118" s="317"/>
      <c r="C118" s="319"/>
      <c r="D118" s="235" t="s">
        <v>356</v>
      </c>
      <c r="E118" s="12"/>
    </row>
    <row r="119" spans="1:10" ht="14.25">
      <c r="A119" s="235"/>
      <c r="B119" s="241"/>
      <c r="C119" s="317"/>
      <c r="D119" s="241"/>
      <c r="E119" s="241"/>
      <c r="F119" s="241"/>
      <c r="G119" s="241"/>
      <c r="H119" s="241"/>
      <c r="I119" s="241"/>
      <c r="J119" s="241"/>
    </row>
    <row r="120" spans="2:10" ht="45">
      <c r="B120" s="320" t="s">
        <v>324</v>
      </c>
      <c r="C120" s="321" t="s">
        <v>325</v>
      </c>
      <c r="D120" s="322" t="s">
        <v>326</v>
      </c>
      <c r="E120" s="320" t="s">
        <v>88</v>
      </c>
      <c r="F120" s="322" t="s">
        <v>327</v>
      </c>
      <c r="G120" s="322" t="s">
        <v>328</v>
      </c>
      <c r="H120" s="322" t="s">
        <v>329</v>
      </c>
      <c r="I120" s="322" t="s">
        <v>330</v>
      </c>
      <c r="J120" s="322" t="s">
        <v>331</v>
      </c>
    </row>
    <row r="121" spans="2:10" ht="15">
      <c r="B121" s="323"/>
      <c r="C121" s="324"/>
      <c r="D121" s="325"/>
      <c r="E121" s="323"/>
      <c r="F121" s="325"/>
      <c r="G121" s="325"/>
      <c r="H121" s="326">
        <v>0.2</v>
      </c>
      <c r="I121" s="326">
        <v>0.5</v>
      </c>
      <c r="J121" s="325"/>
    </row>
    <row r="122" spans="2:10" ht="14.25">
      <c r="B122" s="327" t="s">
        <v>332</v>
      </c>
      <c r="C122" s="328"/>
      <c r="D122" s="329"/>
      <c r="E122" s="330"/>
      <c r="F122" s="331"/>
      <c r="G122" s="332"/>
      <c r="H122" s="332">
        <f>F122*$H$7</f>
        <v>0</v>
      </c>
      <c r="I122" s="332"/>
      <c r="J122" s="332">
        <f>G122+H122+I122</f>
        <v>0</v>
      </c>
    </row>
    <row r="123" spans="2:10" ht="14.25">
      <c r="B123" s="327" t="s">
        <v>333</v>
      </c>
      <c r="C123" s="328"/>
      <c r="D123" s="329"/>
      <c r="E123" s="330"/>
      <c r="F123" s="331"/>
      <c r="G123" s="332"/>
      <c r="H123" s="332">
        <f>F123*$H$7</f>
        <v>0</v>
      </c>
      <c r="I123" s="332"/>
      <c r="J123" s="332">
        <f>G123+H123+I123</f>
        <v>0</v>
      </c>
    </row>
    <row r="124" spans="2:10" ht="14.25">
      <c r="B124" s="327" t="s">
        <v>334</v>
      </c>
      <c r="C124" s="328"/>
      <c r="D124" s="329"/>
      <c r="E124" s="330"/>
      <c r="F124" s="331"/>
      <c r="G124" s="332"/>
      <c r="H124" s="332">
        <f>F124*$H$7</f>
        <v>0</v>
      </c>
      <c r="I124" s="332"/>
      <c r="J124" s="332">
        <f>G124+H124+I124</f>
        <v>0</v>
      </c>
    </row>
    <row r="125" spans="2:10" ht="14.25">
      <c r="B125" s="327"/>
      <c r="C125" s="328"/>
      <c r="D125" s="329"/>
      <c r="E125" s="330"/>
      <c r="F125" s="331"/>
      <c r="G125" s="332"/>
      <c r="H125" s="332">
        <f>F125*$H$7</f>
        <v>0</v>
      </c>
      <c r="I125" s="332"/>
      <c r="J125" s="332">
        <f>G125+H125+I125</f>
        <v>0</v>
      </c>
    </row>
    <row r="126" spans="2:10" ht="15.75">
      <c r="B126" s="333"/>
      <c r="C126" s="334"/>
      <c r="D126" s="333"/>
      <c r="E126" s="335" t="s">
        <v>138</v>
      </c>
      <c r="F126" s="336">
        <f>SUM(F122:F125)</f>
        <v>0</v>
      </c>
      <c r="G126" s="337"/>
      <c r="H126" s="337"/>
      <c r="I126" s="337"/>
      <c r="J126" s="336">
        <f>SUM(J122:J125)</f>
        <v>0</v>
      </c>
    </row>
    <row r="127" spans="2:10" ht="15.75" thickBot="1">
      <c r="B127" s="12"/>
      <c r="C127" s="338"/>
      <c r="D127" s="12"/>
      <c r="E127" s="12"/>
      <c r="F127" s="12"/>
      <c r="G127" s="12"/>
      <c r="H127" s="12"/>
      <c r="I127" s="12"/>
      <c r="J127" s="12"/>
    </row>
    <row r="128" spans="2:10" ht="15">
      <c r="B128" s="340" t="s">
        <v>335</v>
      </c>
      <c r="C128" s="341"/>
      <c r="D128" s="342">
        <v>0.54</v>
      </c>
      <c r="E128" s="350">
        <f>J126*D128</f>
        <v>0</v>
      </c>
      <c r="F128" s="12"/>
      <c r="G128" s="12"/>
      <c r="H128" s="12"/>
      <c r="I128" s="12"/>
      <c r="J128" s="12"/>
    </row>
    <row r="129" spans="2:10" ht="15">
      <c r="B129" s="345" t="s">
        <v>336</v>
      </c>
      <c r="C129" s="305"/>
      <c r="D129" s="346"/>
      <c r="E129" s="352">
        <f>J126+E128</f>
        <v>0</v>
      </c>
      <c r="J129" s="339"/>
    </row>
    <row r="130" spans="2:10" ht="14.25">
      <c r="B130" s="343" t="s">
        <v>337</v>
      </c>
      <c r="C130" s="305"/>
      <c r="D130" s="344">
        <v>0.24</v>
      </c>
      <c r="E130" s="351">
        <f>E129*D130</f>
        <v>0</v>
      </c>
      <c r="J130" s="339"/>
    </row>
    <row r="131" spans="2:10" ht="14.25">
      <c r="B131" s="343" t="s">
        <v>378</v>
      </c>
      <c r="C131" s="305"/>
      <c r="D131" s="347">
        <v>0.015</v>
      </c>
      <c r="E131" s="351">
        <f>E129*D131</f>
        <v>0</v>
      </c>
      <c r="J131" s="339"/>
    </row>
    <row r="132" spans="2:10" ht="15">
      <c r="B132" s="343" t="s">
        <v>377</v>
      </c>
      <c r="C132" s="154"/>
      <c r="D132" s="347">
        <v>0.005</v>
      </c>
      <c r="E132" s="351">
        <f>E129*D132</f>
        <v>0</v>
      </c>
      <c r="J132" s="339"/>
    </row>
    <row r="133" spans="2:5" ht="15.75" thickBot="1">
      <c r="B133" s="348" t="s">
        <v>379</v>
      </c>
      <c r="C133" s="349"/>
      <c r="D133" s="356">
        <v>0.01</v>
      </c>
      <c r="E133" s="353">
        <f>E129*D133</f>
        <v>0</v>
      </c>
    </row>
    <row r="134" spans="2:5" ht="15.75">
      <c r="B134" s="12"/>
      <c r="C134" s="338"/>
      <c r="D134" s="12"/>
      <c r="E134" s="315" t="s">
        <v>323</v>
      </c>
    </row>
    <row r="135" spans="2:5" ht="15">
      <c r="B135" s="12"/>
      <c r="C135" s="338"/>
      <c r="D135" s="12"/>
      <c r="E135" s="12"/>
    </row>
    <row r="136" spans="1:5" ht="15.75">
      <c r="A136" s="318" t="s">
        <v>125</v>
      </c>
      <c r="B136" s="317"/>
      <c r="D136" s="185" t="str">
        <f>Adatlap!$A$17</f>
        <v>Próba Kft.</v>
      </c>
      <c r="E136" s="12"/>
    </row>
    <row r="137" spans="1:5" ht="15.75">
      <c r="A137" s="318" t="s">
        <v>338</v>
      </c>
      <c r="B137" s="317"/>
      <c r="C137" s="319"/>
      <c r="D137" s="235" t="s">
        <v>357</v>
      </c>
      <c r="E137" s="12"/>
    </row>
    <row r="139" spans="2:10" ht="45">
      <c r="B139" s="320" t="s">
        <v>324</v>
      </c>
      <c r="C139" s="321" t="s">
        <v>325</v>
      </c>
      <c r="D139" s="322" t="s">
        <v>326</v>
      </c>
      <c r="E139" s="320" t="s">
        <v>88</v>
      </c>
      <c r="F139" s="322" t="s">
        <v>327</v>
      </c>
      <c r="G139" s="322" t="s">
        <v>328</v>
      </c>
      <c r="H139" s="322" t="s">
        <v>329</v>
      </c>
      <c r="I139" s="322" t="s">
        <v>330</v>
      </c>
      <c r="J139" s="322" t="s">
        <v>331</v>
      </c>
    </row>
    <row r="140" spans="2:10" ht="15">
      <c r="B140" s="323"/>
      <c r="C140" s="324"/>
      <c r="D140" s="325"/>
      <c r="E140" s="323"/>
      <c r="F140" s="325"/>
      <c r="G140" s="325"/>
      <c r="H140" s="326">
        <v>0.2</v>
      </c>
      <c r="I140" s="326">
        <v>0.5</v>
      </c>
      <c r="J140" s="325"/>
    </row>
    <row r="141" spans="2:10" ht="14.25">
      <c r="B141" s="327" t="s">
        <v>332</v>
      </c>
      <c r="C141" s="328"/>
      <c r="D141" s="329"/>
      <c r="E141" s="330"/>
      <c r="F141" s="331"/>
      <c r="G141" s="332"/>
      <c r="H141" s="332">
        <f>F141*$H$7</f>
        <v>0</v>
      </c>
      <c r="I141" s="332"/>
      <c r="J141" s="332">
        <f>G141+H141+I141</f>
        <v>0</v>
      </c>
    </row>
    <row r="142" spans="2:10" ht="14.25">
      <c r="B142" s="327" t="s">
        <v>333</v>
      </c>
      <c r="C142" s="328"/>
      <c r="D142" s="329"/>
      <c r="E142" s="330"/>
      <c r="F142" s="331"/>
      <c r="G142" s="332"/>
      <c r="H142" s="332">
        <f>F142*$H$7</f>
        <v>0</v>
      </c>
      <c r="I142" s="332"/>
      <c r="J142" s="332">
        <f>G142+H142+I142</f>
        <v>0</v>
      </c>
    </row>
    <row r="143" spans="2:10" ht="14.25">
      <c r="B143" s="327" t="s">
        <v>334</v>
      </c>
      <c r="C143" s="328"/>
      <c r="D143" s="329"/>
      <c r="E143" s="330"/>
      <c r="F143" s="331"/>
      <c r="G143" s="332"/>
      <c r="H143" s="332">
        <f>F143*$H$7</f>
        <v>0</v>
      </c>
      <c r="I143" s="332"/>
      <c r="J143" s="332">
        <f>G143+H143+I143</f>
        <v>0</v>
      </c>
    </row>
    <row r="144" spans="2:10" ht="14.25">
      <c r="B144" s="327"/>
      <c r="C144" s="328"/>
      <c r="D144" s="329"/>
      <c r="E144" s="330"/>
      <c r="F144" s="331"/>
      <c r="G144" s="332"/>
      <c r="H144" s="332">
        <f>F144*$H$7</f>
        <v>0</v>
      </c>
      <c r="I144" s="332"/>
      <c r="J144" s="332">
        <f>G144+H144+I144</f>
        <v>0</v>
      </c>
    </row>
    <row r="145" spans="2:10" ht="15.75">
      <c r="B145" s="333"/>
      <c r="C145" s="334"/>
      <c r="D145" s="333"/>
      <c r="E145" s="335" t="s">
        <v>138</v>
      </c>
      <c r="F145" s="336">
        <f>SUM(F141:F144)</f>
        <v>0</v>
      </c>
      <c r="G145" s="337"/>
      <c r="H145" s="337"/>
      <c r="I145" s="337"/>
      <c r="J145" s="336">
        <f>SUM(J141:J144)</f>
        <v>0</v>
      </c>
    </row>
    <row r="146" spans="2:10" ht="15.75" thickBot="1">
      <c r="B146" s="12"/>
      <c r="C146" s="338"/>
      <c r="D146" s="12"/>
      <c r="E146" s="12"/>
      <c r="F146" s="12"/>
      <c r="G146" s="12"/>
      <c r="H146" s="12"/>
      <c r="I146" s="12"/>
      <c r="J146" s="12"/>
    </row>
    <row r="147" spans="2:10" ht="15">
      <c r="B147" s="340" t="s">
        <v>335</v>
      </c>
      <c r="C147" s="341"/>
      <c r="D147" s="342">
        <v>0.54</v>
      </c>
      <c r="E147" s="350">
        <f>J145*D147</f>
        <v>0</v>
      </c>
      <c r="F147" s="12"/>
      <c r="G147" s="12"/>
      <c r="H147" s="12"/>
      <c r="I147" s="12"/>
      <c r="J147" s="12"/>
    </row>
    <row r="148" spans="2:10" ht="15">
      <c r="B148" s="345" t="s">
        <v>336</v>
      </c>
      <c r="C148" s="305"/>
      <c r="D148" s="346"/>
      <c r="E148" s="352">
        <f>J145+E147</f>
        <v>0</v>
      </c>
      <c r="J148" s="339"/>
    </row>
    <row r="149" spans="2:10" ht="14.25">
      <c r="B149" s="343" t="s">
        <v>337</v>
      </c>
      <c r="C149" s="305"/>
      <c r="D149" s="344">
        <v>0.24</v>
      </c>
      <c r="E149" s="351">
        <f>E148*D149</f>
        <v>0</v>
      </c>
      <c r="J149" s="339"/>
    </row>
    <row r="150" spans="2:10" ht="14.25">
      <c r="B150" s="343" t="s">
        <v>378</v>
      </c>
      <c r="C150" s="305"/>
      <c r="D150" s="347">
        <v>0.015</v>
      </c>
      <c r="E150" s="351">
        <f>E148*D150</f>
        <v>0</v>
      </c>
      <c r="J150" s="339"/>
    </row>
    <row r="151" spans="2:10" ht="15">
      <c r="B151" s="343" t="s">
        <v>377</v>
      </c>
      <c r="C151" s="154"/>
      <c r="D151" s="347">
        <v>0.005</v>
      </c>
      <c r="E151" s="351">
        <f>E148*D151</f>
        <v>0</v>
      </c>
      <c r="J151" s="339"/>
    </row>
    <row r="152" spans="2:5" ht="15.75" thickBot="1">
      <c r="B152" s="348" t="s">
        <v>379</v>
      </c>
      <c r="C152" s="349"/>
      <c r="D152" s="356">
        <v>0.01</v>
      </c>
      <c r="E152" s="353">
        <f>E148*D152</f>
        <v>0</v>
      </c>
    </row>
    <row r="153" spans="2:5" ht="15.75">
      <c r="B153" s="12"/>
      <c r="C153" s="338"/>
      <c r="D153" s="12"/>
      <c r="E153" s="315" t="s">
        <v>323</v>
      </c>
    </row>
    <row r="154" spans="2:5" ht="15">
      <c r="B154" s="12"/>
      <c r="C154" s="338"/>
      <c r="D154" s="12"/>
      <c r="E154" s="12"/>
    </row>
    <row r="155" spans="1:5" ht="15.75">
      <c r="A155" s="318" t="s">
        <v>125</v>
      </c>
      <c r="B155" s="317"/>
      <c r="D155" s="185" t="str">
        <f>Adatlap!$A$17</f>
        <v>Próba Kft.</v>
      </c>
      <c r="E155" s="12"/>
    </row>
    <row r="156" spans="1:5" ht="15.75">
      <c r="A156" s="318" t="s">
        <v>338</v>
      </c>
      <c r="B156" s="317"/>
      <c r="C156" s="319"/>
      <c r="D156" s="235" t="s">
        <v>358</v>
      </c>
      <c r="E156" s="12"/>
    </row>
    <row r="157" spans="1:10" ht="14.25">
      <c r="A157" s="235"/>
      <c r="B157" s="241"/>
      <c r="C157" s="317"/>
      <c r="D157" s="241"/>
      <c r="E157" s="241"/>
      <c r="F157" s="241"/>
      <c r="G157" s="241"/>
      <c r="H157" s="241"/>
      <c r="I157" s="241"/>
      <c r="J157" s="241"/>
    </row>
    <row r="158" spans="2:10" ht="45">
      <c r="B158" s="320" t="s">
        <v>324</v>
      </c>
      <c r="C158" s="321" t="s">
        <v>325</v>
      </c>
      <c r="D158" s="322" t="s">
        <v>326</v>
      </c>
      <c r="E158" s="320" t="s">
        <v>88</v>
      </c>
      <c r="F158" s="322" t="s">
        <v>327</v>
      </c>
      <c r="G158" s="322" t="s">
        <v>328</v>
      </c>
      <c r="H158" s="322" t="s">
        <v>329</v>
      </c>
      <c r="I158" s="322" t="s">
        <v>330</v>
      </c>
      <c r="J158" s="322" t="s">
        <v>331</v>
      </c>
    </row>
    <row r="159" spans="2:10" ht="15">
      <c r="B159" s="323"/>
      <c r="C159" s="324"/>
      <c r="D159" s="325"/>
      <c r="E159" s="323"/>
      <c r="F159" s="325"/>
      <c r="G159" s="325"/>
      <c r="H159" s="326">
        <v>0.2</v>
      </c>
      <c r="I159" s="326">
        <v>0.5</v>
      </c>
      <c r="J159" s="325"/>
    </row>
    <row r="160" spans="2:10" ht="14.25">
      <c r="B160" s="327" t="s">
        <v>332</v>
      </c>
      <c r="C160" s="328"/>
      <c r="D160" s="329"/>
      <c r="E160" s="330"/>
      <c r="F160" s="331"/>
      <c r="G160" s="332"/>
      <c r="H160" s="332">
        <f>F160*$H$7</f>
        <v>0</v>
      </c>
      <c r="I160" s="332"/>
      <c r="J160" s="332">
        <f>G160+H160+I160</f>
        <v>0</v>
      </c>
    </row>
    <row r="161" spans="2:10" ht="14.25">
      <c r="B161" s="327" t="s">
        <v>333</v>
      </c>
      <c r="C161" s="328"/>
      <c r="D161" s="329"/>
      <c r="E161" s="330"/>
      <c r="F161" s="331"/>
      <c r="G161" s="332"/>
      <c r="H161" s="332">
        <f>F161*$H$7</f>
        <v>0</v>
      </c>
      <c r="I161" s="332"/>
      <c r="J161" s="332">
        <f>G161+H161+I161</f>
        <v>0</v>
      </c>
    </row>
    <row r="162" spans="2:10" ht="14.25">
      <c r="B162" s="327" t="s">
        <v>334</v>
      </c>
      <c r="C162" s="328"/>
      <c r="D162" s="329"/>
      <c r="E162" s="330"/>
      <c r="F162" s="331"/>
      <c r="G162" s="332"/>
      <c r="H162" s="332">
        <f>F162*$H$7</f>
        <v>0</v>
      </c>
      <c r="I162" s="332"/>
      <c r="J162" s="332">
        <f>G162+H162+I162</f>
        <v>0</v>
      </c>
    </row>
    <row r="163" spans="2:10" ht="14.25">
      <c r="B163" s="327"/>
      <c r="C163" s="328"/>
      <c r="D163" s="329"/>
      <c r="E163" s="330"/>
      <c r="F163" s="331"/>
      <c r="G163" s="332"/>
      <c r="H163" s="332">
        <f>F163*$H$7</f>
        <v>0</v>
      </c>
      <c r="I163" s="332"/>
      <c r="J163" s="332">
        <f>G163+H163+I163</f>
        <v>0</v>
      </c>
    </row>
    <row r="164" spans="2:10" ht="15.75">
      <c r="B164" s="333"/>
      <c r="C164" s="334"/>
      <c r="D164" s="333"/>
      <c r="E164" s="335" t="s">
        <v>138</v>
      </c>
      <c r="F164" s="336">
        <f>SUM(F160:F163)</f>
        <v>0</v>
      </c>
      <c r="G164" s="337"/>
      <c r="H164" s="337"/>
      <c r="I164" s="337"/>
      <c r="J164" s="336">
        <f>SUM(J160:J163)</f>
        <v>0</v>
      </c>
    </row>
    <row r="165" spans="2:10" ht="15.75" thickBot="1">
      <c r="B165" s="12"/>
      <c r="C165" s="338"/>
      <c r="D165" s="12"/>
      <c r="E165" s="12"/>
      <c r="F165" s="12"/>
      <c r="G165" s="12"/>
      <c r="H165" s="12"/>
      <c r="I165" s="12"/>
      <c r="J165" s="12"/>
    </row>
    <row r="166" spans="2:10" ht="15">
      <c r="B166" s="340" t="s">
        <v>335</v>
      </c>
      <c r="C166" s="341"/>
      <c r="D166" s="342">
        <v>0.54</v>
      </c>
      <c r="E166" s="350">
        <f>J164*D166</f>
        <v>0</v>
      </c>
      <c r="F166" s="12"/>
      <c r="G166" s="12"/>
      <c r="H166" s="12"/>
      <c r="I166" s="12"/>
      <c r="J166" s="12"/>
    </row>
    <row r="167" spans="2:10" ht="15">
      <c r="B167" s="345" t="s">
        <v>336</v>
      </c>
      <c r="C167" s="305"/>
      <c r="D167" s="346"/>
      <c r="E167" s="352">
        <f>J164+E166</f>
        <v>0</v>
      </c>
      <c r="J167" s="339"/>
    </row>
    <row r="168" spans="2:10" ht="14.25">
      <c r="B168" s="343" t="s">
        <v>337</v>
      </c>
      <c r="C168" s="305"/>
      <c r="D168" s="344">
        <v>0.24</v>
      </c>
      <c r="E168" s="351">
        <f>E167*D168</f>
        <v>0</v>
      </c>
      <c r="J168" s="339"/>
    </row>
    <row r="169" spans="2:10" ht="14.25">
      <c r="B169" s="343" t="s">
        <v>378</v>
      </c>
      <c r="C169" s="305"/>
      <c r="D169" s="347">
        <v>0.015</v>
      </c>
      <c r="E169" s="351">
        <f>E167*D169</f>
        <v>0</v>
      </c>
      <c r="J169" s="339"/>
    </row>
    <row r="170" spans="2:10" ht="15">
      <c r="B170" s="343" t="s">
        <v>377</v>
      </c>
      <c r="C170" s="154"/>
      <c r="D170" s="347">
        <v>0.005</v>
      </c>
      <c r="E170" s="351">
        <f>E167*D170</f>
        <v>0</v>
      </c>
      <c r="J170" s="339"/>
    </row>
    <row r="171" spans="2:5" ht="15.75" thickBot="1">
      <c r="B171" s="348" t="s">
        <v>379</v>
      </c>
      <c r="C171" s="349"/>
      <c r="D171" s="356">
        <v>0.01</v>
      </c>
      <c r="E171" s="353">
        <f>J164*D171</f>
        <v>0</v>
      </c>
    </row>
    <row r="172" spans="2:5" ht="15.75">
      <c r="B172" s="12"/>
      <c r="C172" s="338"/>
      <c r="D172" s="12"/>
      <c r="E172" s="315" t="s">
        <v>323</v>
      </c>
    </row>
    <row r="173" spans="2:5" ht="15">
      <c r="B173" s="12"/>
      <c r="C173" s="338"/>
      <c r="D173" s="12"/>
      <c r="E173" s="12"/>
    </row>
    <row r="174" spans="1:5" ht="15.75">
      <c r="A174" s="318" t="s">
        <v>125</v>
      </c>
      <c r="B174" s="317"/>
      <c r="D174" s="185" t="str">
        <f>Adatlap!$A$17</f>
        <v>Próba Kft.</v>
      </c>
      <c r="E174" s="12"/>
    </row>
    <row r="175" spans="1:10" ht="15.75">
      <c r="A175" s="318" t="s">
        <v>338</v>
      </c>
      <c r="B175" s="317"/>
      <c r="C175" s="319"/>
      <c r="D175" s="235" t="s">
        <v>359</v>
      </c>
      <c r="E175" s="12"/>
      <c r="F175" s="241"/>
      <c r="G175" s="241"/>
      <c r="H175" s="241"/>
      <c r="I175" s="241"/>
      <c r="J175" s="241"/>
    </row>
    <row r="176" spans="1:10" ht="15.75">
      <c r="A176" s="318"/>
      <c r="B176" s="317"/>
      <c r="C176" s="319"/>
      <c r="D176" s="235"/>
      <c r="E176" s="12"/>
      <c r="F176" s="241"/>
      <c r="G176" s="241"/>
      <c r="H176" s="241"/>
      <c r="I176" s="241"/>
      <c r="J176" s="241"/>
    </row>
    <row r="177" spans="2:10" ht="45">
      <c r="B177" s="320" t="s">
        <v>324</v>
      </c>
      <c r="C177" s="321" t="s">
        <v>325</v>
      </c>
      <c r="D177" s="322" t="s">
        <v>326</v>
      </c>
      <c r="E177" s="320" t="s">
        <v>88</v>
      </c>
      <c r="F177" s="322" t="s">
        <v>327</v>
      </c>
      <c r="G177" s="322" t="s">
        <v>328</v>
      </c>
      <c r="H177" s="322" t="s">
        <v>329</v>
      </c>
      <c r="I177" s="322" t="s">
        <v>330</v>
      </c>
      <c r="J177" s="322" t="s">
        <v>331</v>
      </c>
    </row>
    <row r="178" spans="2:10" ht="15">
      <c r="B178" s="323"/>
      <c r="C178" s="324"/>
      <c r="D178" s="325"/>
      <c r="E178" s="323"/>
      <c r="F178" s="325"/>
      <c r="G178" s="325"/>
      <c r="H178" s="326">
        <v>0.2</v>
      </c>
      <c r="I178" s="326">
        <v>0.5</v>
      </c>
      <c r="J178" s="325"/>
    </row>
    <row r="179" spans="2:10" ht="14.25">
      <c r="B179" s="327" t="s">
        <v>332</v>
      </c>
      <c r="C179" s="328"/>
      <c r="D179" s="329"/>
      <c r="E179" s="330"/>
      <c r="F179" s="331"/>
      <c r="G179" s="332"/>
      <c r="H179" s="332">
        <f>F179*$H$7</f>
        <v>0</v>
      </c>
      <c r="I179" s="332"/>
      <c r="J179" s="332">
        <f>G179+H179+I179</f>
        <v>0</v>
      </c>
    </row>
    <row r="180" spans="2:10" ht="14.25">
      <c r="B180" s="327" t="s">
        <v>333</v>
      </c>
      <c r="C180" s="328"/>
      <c r="D180" s="329"/>
      <c r="E180" s="330"/>
      <c r="F180" s="331"/>
      <c r="G180" s="332"/>
      <c r="H180" s="332">
        <f>F180*$H$7</f>
        <v>0</v>
      </c>
      <c r="I180" s="332"/>
      <c r="J180" s="332">
        <f>G180+H180+I180</f>
        <v>0</v>
      </c>
    </row>
    <row r="181" spans="2:10" ht="14.25">
      <c r="B181" s="327" t="s">
        <v>334</v>
      </c>
      <c r="C181" s="328"/>
      <c r="D181" s="329"/>
      <c r="E181" s="330"/>
      <c r="F181" s="331"/>
      <c r="G181" s="332"/>
      <c r="H181" s="332">
        <f>F181*$H$7</f>
        <v>0</v>
      </c>
      <c r="I181" s="332"/>
      <c r="J181" s="332">
        <f>G181+H181+I181</f>
        <v>0</v>
      </c>
    </row>
    <row r="182" spans="2:10" ht="14.25">
      <c r="B182" s="327"/>
      <c r="C182" s="328"/>
      <c r="D182" s="329"/>
      <c r="E182" s="330"/>
      <c r="F182" s="331"/>
      <c r="G182" s="332"/>
      <c r="H182" s="332">
        <f>F182*$H$7</f>
        <v>0</v>
      </c>
      <c r="I182" s="332"/>
      <c r="J182" s="332">
        <f>G182+H182+I182</f>
        <v>0</v>
      </c>
    </row>
    <row r="183" spans="2:10" ht="15.75">
      <c r="B183" s="333"/>
      <c r="C183" s="334"/>
      <c r="D183" s="333"/>
      <c r="E183" s="335" t="s">
        <v>138</v>
      </c>
      <c r="F183" s="336">
        <f>SUM(F179:F182)</f>
        <v>0</v>
      </c>
      <c r="G183" s="337"/>
      <c r="H183" s="337"/>
      <c r="I183" s="337"/>
      <c r="J183" s="336">
        <f>SUM(J179:J182)</f>
        <v>0</v>
      </c>
    </row>
    <row r="184" spans="2:10" ht="15.75" thickBot="1">
      <c r="B184" s="12"/>
      <c r="C184" s="338"/>
      <c r="D184" s="12"/>
      <c r="E184" s="12"/>
      <c r="F184" s="12"/>
      <c r="G184" s="12"/>
      <c r="H184" s="12"/>
      <c r="I184" s="12"/>
      <c r="J184" s="12"/>
    </row>
    <row r="185" spans="2:10" ht="15">
      <c r="B185" s="340" t="s">
        <v>335</v>
      </c>
      <c r="C185" s="341"/>
      <c r="D185" s="342">
        <v>0.54</v>
      </c>
      <c r="E185" s="350">
        <f>J183*D185</f>
        <v>0</v>
      </c>
      <c r="F185" s="12"/>
      <c r="G185" s="12"/>
      <c r="H185" s="12"/>
      <c r="I185" s="12"/>
      <c r="J185" s="12"/>
    </row>
    <row r="186" spans="2:10" ht="15">
      <c r="B186" s="345" t="s">
        <v>336</v>
      </c>
      <c r="C186" s="305"/>
      <c r="D186" s="346"/>
      <c r="E186" s="352">
        <f>J183+E185</f>
        <v>0</v>
      </c>
      <c r="J186" s="339"/>
    </row>
    <row r="187" spans="2:10" ht="14.25">
      <c r="B187" s="343" t="s">
        <v>337</v>
      </c>
      <c r="C187" s="305"/>
      <c r="D187" s="344">
        <v>0.24</v>
      </c>
      <c r="E187" s="351">
        <f>E186*D187</f>
        <v>0</v>
      </c>
      <c r="J187" s="339"/>
    </row>
    <row r="188" spans="2:10" ht="14.25">
      <c r="B188" s="343" t="s">
        <v>378</v>
      </c>
      <c r="C188" s="305"/>
      <c r="D188" s="347">
        <v>0.015</v>
      </c>
      <c r="E188" s="351">
        <f>E186*D188</f>
        <v>0</v>
      </c>
      <c r="J188" s="339"/>
    </row>
    <row r="189" spans="2:10" ht="15">
      <c r="B189" s="343" t="s">
        <v>377</v>
      </c>
      <c r="C189" s="154"/>
      <c r="D189" s="347">
        <v>0.005</v>
      </c>
      <c r="E189" s="351">
        <f>E186*D189</f>
        <v>0</v>
      </c>
      <c r="J189" s="339"/>
    </row>
    <row r="190" spans="2:5" ht="15.75" thickBot="1">
      <c r="B190" s="348" t="s">
        <v>379</v>
      </c>
      <c r="C190" s="349"/>
      <c r="D190" s="356">
        <v>0.01</v>
      </c>
      <c r="E190" s="353">
        <f>E186*D190</f>
        <v>0</v>
      </c>
    </row>
    <row r="191" spans="2:5" ht="15.75">
      <c r="B191" s="12"/>
      <c r="C191" s="338"/>
      <c r="D191" s="12"/>
      <c r="E191" s="315" t="s">
        <v>323</v>
      </c>
    </row>
    <row r="192" spans="2:5" ht="15">
      <c r="B192" s="12"/>
      <c r="C192" s="338"/>
      <c r="D192" s="12"/>
      <c r="E192" s="12"/>
    </row>
    <row r="193" spans="1:5" ht="15.75">
      <c r="A193" s="318" t="s">
        <v>125</v>
      </c>
      <c r="B193" s="317"/>
      <c r="D193" s="185" t="str">
        <f>Adatlap!$A$17</f>
        <v>Próba Kft.</v>
      </c>
      <c r="E193" s="12"/>
    </row>
    <row r="194" spans="1:6" ht="15.75">
      <c r="A194" s="318" t="s">
        <v>338</v>
      </c>
      <c r="B194" s="317"/>
      <c r="C194" s="319"/>
      <c r="D194" s="235" t="s">
        <v>360</v>
      </c>
      <c r="E194" s="12"/>
      <c r="F194" s="241"/>
    </row>
    <row r="196" spans="2:10" ht="45">
      <c r="B196" s="320" t="s">
        <v>324</v>
      </c>
      <c r="C196" s="321" t="s">
        <v>325</v>
      </c>
      <c r="D196" s="322" t="s">
        <v>326</v>
      </c>
      <c r="E196" s="320" t="s">
        <v>88</v>
      </c>
      <c r="F196" s="322" t="s">
        <v>327</v>
      </c>
      <c r="G196" s="322" t="s">
        <v>328</v>
      </c>
      <c r="H196" s="322" t="s">
        <v>329</v>
      </c>
      <c r="I196" s="322" t="s">
        <v>330</v>
      </c>
      <c r="J196" s="322" t="s">
        <v>331</v>
      </c>
    </row>
    <row r="197" spans="2:10" ht="15">
      <c r="B197" s="323"/>
      <c r="C197" s="324"/>
      <c r="D197" s="325"/>
      <c r="E197" s="323"/>
      <c r="F197" s="325"/>
      <c r="G197" s="325"/>
      <c r="H197" s="326">
        <v>0.2</v>
      </c>
      <c r="I197" s="326">
        <v>0.5</v>
      </c>
      <c r="J197" s="325"/>
    </row>
    <row r="198" spans="2:10" ht="14.25">
      <c r="B198" s="327" t="s">
        <v>332</v>
      </c>
      <c r="C198" s="328"/>
      <c r="D198" s="329"/>
      <c r="E198" s="330"/>
      <c r="F198" s="331"/>
      <c r="G198" s="332"/>
      <c r="H198" s="332">
        <f>F198*$H$7</f>
        <v>0</v>
      </c>
      <c r="I198" s="332"/>
      <c r="J198" s="332">
        <f>G198+H198+I198</f>
        <v>0</v>
      </c>
    </row>
    <row r="199" spans="2:10" ht="14.25">
      <c r="B199" s="327" t="s">
        <v>333</v>
      </c>
      <c r="C199" s="328"/>
      <c r="D199" s="329"/>
      <c r="E199" s="330"/>
      <c r="F199" s="331"/>
      <c r="G199" s="332"/>
      <c r="H199" s="332">
        <f>F199*$H$7</f>
        <v>0</v>
      </c>
      <c r="I199" s="332"/>
      <c r="J199" s="332">
        <f>G199+H199+I199</f>
        <v>0</v>
      </c>
    </row>
    <row r="200" spans="2:10" ht="14.25">
      <c r="B200" s="327" t="s">
        <v>334</v>
      </c>
      <c r="C200" s="328"/>
      <c r="D200" s="329"/>
      <c r="E200" s="330"/>
      <c r="F200" s="331"/>
      <c r="G200" s="332"/>
      <c r="H200" s="332">
        <f>F200*$H$7</f>
        <v>0</v>
      </c>
      <c r="I200" s="332"/>
      <c r="J200" s="332">
        <f>G200+H200+I200</f>
        <v>0</v>
      </c>
    </row>
    <row r="201" spans="2:10" ht="14.25">
      <c r="B201" s="327"/>
      <c r="C201" s="328"/>
      <c r="D201" s="329"/>
      <c r="E201" s="330"/>
      <c r="F201" s="331"/>
      <c r="G201" s="332"/>
      <c r="H201" s="332">
        <f>F201*$H$7</f>
        <v>0</v>
      </c>
      <c r="I201" s="332"/>
      <c r="J201" s="332">
        <f>G201+H201+I201</f>
        <v>0</v>
      </c>
    </row>
    <row r="202" spans="2:10" ht="15.75">
      <c r="B202" s="333"/>
      <c r="C202" s="334"/>
      <c r="D202" s="333"/>
      <c r="E202" s="335" t="s">
        <v>138</v>
      </c>
      <c r="F202" s="336">
        <f>SUM(F198:F201)</f>
        <v>0</v>
      </c>
      <c r="G202" s="337"/>
      <c r="H202" s="337"/>
      <c r="I202" s="337"/>
      <c r="J202" s="336">
        <f>SUM(J198:J201)</f>
        <v>0</v>
      </c>
    </row>
    <row r="203" spans="2:10" ht="15.75" thickBot="1">
      <c r="B203" s="12"/>
      <c r="C203" s="338"/>
      <c r="D203" s="12"/>
      <c r="E203" s="12"/>
      <c r="F203" s="12"/>
      <c r="G203" s="12"/>
      <c r="H203" s="12"/>
      <c r="I203" s="12"/>
      <c r="J203" s="12"/>
    </row>
    <row r="204" spans="2:10" ht="15">
      <c r="B204" s="340" t="s">
        <v>335</v>
      </c>
      <c r="C204" s="341"/>
      <c r="D204" s="342">
        <v>0.54</v>
      </c>
      <c r="E204" s="350">
        <f>J202*D204</f>
        <v>0</v>
      </c>
      <c r="F204" s="12"/>
      <c r="G204" s="12"/>
      <c r="H204" s="12"/>
      <c r="I204" s="12"/>
      <c r="J204" s="12"/>
    </row>
    <row r="205" spans="2:10" ht="15">
      <c r="B205" s="345" t="s">
        <v>336</v>
      </c>
      <c r="C205" s="305"/>
      <c r="D205" s="346"/>
      <c r="E205" s="352">
        <f>J202+E204</f>
        <v>0</v>
      </c>
      <c r="J205" s="339"/>
    </row>
    <row r="206" spans="2:10" ht="14.25">
      <c r="B206" s="343" t="s">
        <v>337</v>
      </c>
      <c r="C206" s="305"/>
      <c r="D206" s="344">
        <v>0.24</v>
      </c>
      <c r="E206" s="351">
        <f>E205*D206</f>
        <v>0</v>
      </c>
      <c r="J206" s="339"/>
    </row>
    <row r="207" spans="2:10" ht="14.25">
      <c r="B207" s="343" t="s">
        <v>378</v>
      </c>
      <c r="C207" s="305"/>
      <c r="D207" s="347">
        <v>0.015</v>
      </c>
      <c r="E207" s="351">
        <f>E205*D207</f>
        <v>0</v>
      </c>
      <c r="J207" s="339"/>
    </row>
    <row r="208" spans="2:10" ht="15">
      <c r="B208" s="343" t="s">
        <v>377</v>
      </c>
      <c r="C208" s="154"/>
      <c r="D208" s="347">
        <v>0.005</v>
      </c>
      <c r="E208" s="351">
        <f>E205*D208</f>
        <v>0</v>
      </c>
      <c r="J208" s="339"/>
    </row>
    <row r="209" spans="2:10" ht="15.75" thickBot="1">
      <c r="B209" s="348" t="s">
        <v>379</v>
      </c>
      <c r="C209" s="349"/>
      <c r="D209" s="356">
        <v>0.01</v>
      </c>
      <c r="E209" s="353">
        <f>E205*D209</f>
        <v>0</v>
      </c>
      <c r="J209" s="339"/>
    </row>
    <row r="210" spans="2:10" ht="15.75">
      <c r="B210" s="12"/>
      <c r="C210" s="338"/>
      <c r="D210" s="12"/>
      <c r="E210" s="315" t="s">
        <v>323</v>
      </c>
      <c r="J210" s="339"/>
    </row>
    <row r="211" spans="2:10" ht="15">
      <c r="B211" s="12"/>
      <c r="C211" s="338"/>
      <c r="D211" s="12"/>
      <c r="E211" s="12"/>
      <c r="J211" s="339"/>
    </row>
    <row r="212" spans="1:10" ht="15.75">
      <c r="A212" s="318" t="s">
        <v>125</v>
      </c>
      <c r="B212" s="317"/>
      <c r="D212" s="185" t="str">
        <f>Adatlap!$A$17</f>
        <v>Próba Kft.</v>
      </c>
      <c r="E212" s="12"/>
      <c r="J212" s="339"/>
    </row>
    <row r="213" spans="1:10" ht="15.75">
      <c r="A213" s="318" t="s">
        <v>338</v>
      </c>
      <c r="B213" s="317"/>
      <c r="C213" s="319"/>
      <c r="D213" s="235" t="s">
        <v>361</v>
      </c>
      <c r="E213" s="12"/>
      <c r="F213" s="241"/>
      <c r="J213" s="339"/>
    </row>
    <row r="214" spans="1:10" ht="14.25">
      <c r="A214" s="235"/>
      <c r="B214" s="241"/>
      <c r="C214" s="317"/>
      <c r="D214" s="241"/>
      <c r="E214" s="241"/>
      <c r="F214" s="241"/>
      <c r="G214" s="241"/>
      <c r="H214" s="241"/>
      <c r="I214" s="241"/>
      <c r="J214" s="241"/>
    </row>
    <row r="215" spans="2:10" ht="45">
      <c r="B215" s="320" t="s">
        <v>324</v>
      </c>
      <c r="C215" s="321" t="s">
        <v>325</v>
      </c>
      <c r="D215" s="322" t="s">
        <v>326</v>
      </c>
      <c r="E215" s="320" t="s">
        <v>88</v>
      </c>
      <c r="F215" s="322" t="s">
        <v>327</v>
      </c>
      <c r="G215" s="322" t="s">
        <v>328</v>
      </c>
      <c r="H215" s="322" t="s">
        <v>329</v>
      </c>
      <c r="I215" s="322" t="s">
        <v>330</v>
      </c>
      <c r="J215" s="322" t="s">
        <v>331</v>
      </c>
    </row>
    <row r="216" spans="2:10" ht="15">
      <c r="B216" s="323"/>
      <c r="C216" s="324"/>
      <c r="D216" s="325"/>
      <c r="E216" s="323"/>
      <c r="F216" s="325"/>
      <c r="G216" s="325"/>
      <c r="H216" s="326">
        <v>0.2</v>
      </c>
      <c r="I216" s="326">
        <v>0.5</v>
      </c>
      <c r="J216" s="325"/>
    </row>
    <row r="217" spans="2:10" ht="14.25">
      <c r="B217" s="327" t="s">
        <v>332</v>
      </c>
      <c r="C217" s="328"/>
      <c r="D217" s="329"/>
      <c r="E217" s="330"/>
      <c r="F217" s="331"/>
      <c r="G217" s="332"/>
      <c r="H217" s="332">
        <f>F217*$H$7</f>
        <v>0</v>
      </c>
      <c r="I217" s="332"/>
      <c r="J217" s="332">
        <f>G217+H217+I217</f>
        <v>0</v>
      </c>
    </row>
    <row r="218" spans="2:10" ht="14.25">
      <c r="B218" s="327" t="s">
        <v>333</v>
      </c>
      <c r="C218" s="328"/>
      <c r="D218" s="329"/>
      <c r="E218" s="330"/>
      <c r="F218" s="331"/>
      <c r="G218" s="332"/>
      <c r="H218" s="332">
        <f>F218*$H$7</f>
        <v>0</v>
      </c>
      <c r="I218" s="332"/>
      <c r="J218" s="332">
        <f>G218+H218+I218</f>
        <v>0</v>
      </c>
    </row>
    <row r="219" spans="2:10" ht="14.25">
      <c r="B219" s="327" t="s">
        <v>334</v>
      </c>
      <c r="C219" s="328"/>
      <c r="D219" s="329"/>
      <c r="E219" s="330"/>
      <c r="F219" s="331"/>
      <c r="G219" s="332"/>
      <c r="H219" s="332">
        <f>F219*$H$7</f>
        <v>0</v>
      </c>
      <c r="I219" s="332"/>
      <c r="J219" s="332">
        <f>G219+H219+I219</f>
        <v>0</v>
      </c>
    </row>
    <row r="220" spans="2:10" ht="14.25">
      <c r="B220" s="327"/>
      <c r="C220" s="328"/>
      <c r="D220" s="329"/>
      <c r="E220" s="330"/>
      <c r="F220" s="331"/>
      <c r="G220" s="332"/>
      <c r="H220" s="332">
        <f>F220*$H$7</f>
        <v>0</v>
      </c>
      <c r="I220" s="332"/>
      <c r="J220" s="332">
        <f>G220+H220+I220</f>
        <v>0</v>
      </c>
    </row>
    <row r="221" spans="2:10" ht="15.75">
      <c r="B221" s="333"/>
      <c r="C221" s="334"/>
      <c r="D221" s="333"/>
      <c r="E221" s="335" t="s">
        <v>138</v>
      </c>
      <c r="F221" s="336">
        <f>SUM(F217:F220)</f>
        <v>0</v>
      </c>
      <c r="G221" s="337"/>
      <c r="H221" s="337"/>
      <c r="I221" s="337"/>
      <c r="J221" s="336">
        <f>SUM(J217:J220)</f>
        <v>0</v>
      </c>
    </row>
    <row r="222" spans="2:10" ht="15.75" thickBot="1">
      <c r="B222" s="12"/>
      <c r="C222" s="338"/>
      <c r="D222" s="12"/>
      <c r="E222" s="12"/>
      <c r="F222" s="12"/>
      <c r="G222" s="12"/>
      <c r="H222" s="12"/>
      <c r="I222" s="12"/>
      <c r="J222" s="12"/>
    </row>
    <row r="223" spans="2:10" ht="15.75" thickBot="1">
      <c r="B223" s="340" t="s">
        <v>335</v>
      </c>
      <c r="C223" s="341"/>
      <c r="D223" s="342">
        <v>0.54</v>
      </c>
      <c r="E223" s="350">
        <f>J221*D223</f>
        <v>0</v>
      </c>
      <c r="F223" s="12"/>
      <c r="G223" s="12"/>
      <c r="H223" s="12"/>
      <c r="I223" s="12"/>
      <c r="J223" s="12"/>
    </row>
    <row r="224" spans="2:10" ht="15.75" thickBot="1">
      <c r="B224" s="345" t="s">
        <v>336</v>
      </c>
      <c r="C224" s="305"/>
      <c r="D224" s="346"/>
      <c r="E224" s="352">
        <f>J221+E223</f>
        <v>0</v>
      </c>
      <c r="G224" s="266" t="s">
        <v>340</v>
      </c>
      <c r="H224" s="354"/>
      <c r="I224" s="354"/>
      <c r="J224" s="355">
        <f>+E224+E205+E186+E167+E129+E148</f>
        <v>0</v>
      </c>
    </row>
    <row r="225" spans="2:10" ht="14.25">
      <c r="B225" s="343" t="s">
        <v>337</v>
      </c>
      <c r="C225" s="305"/>
      <c r="D225" s="344">
        <v>0.24</v>
      </c>
      <c r="E225" s="351">
        <f>E224*D225</f>
        <v>0</v>
      </c>
      <c r="J225" s="339"/>
    </row>
    <row r="226" spans="2:10" ht="14.25">
      <c r="B226" s="343" t="s">
        <v>378</v>
      </c>
      <c r="C226" s="305"/>
      <c r="D226" s="347">
        <v>0.015</v>
      </c>
      <c r="E226" s="351">
        <f>E224*D226</f>
        <v>0</v>
      </c>
      <c r="J226" s="339"/>
    </row>
    <row r="227" spans="2:10" ht="15">
      <c r="B227" s="343" t="s">
        <v>377</v>
      </c>
      <c r="C227" s="154"/>
      <c r="D227" s="347">
        <v>0.005</v>
      </c>
      <c r="E227" s="351">
        <f>E224*D227</f>
        <v>0</v>
      </c>
      <c r="J227" s="339"/>
    </row>
    <row r="228" spans="2:5" ht="15.75" thickBot="1">
      <c r="B228" s="348" t="s">
        <v>379</v>
      </c>
      <c r="C228" s="349"/>
      <c r="D228" s="356">
        <v>0.01</v>
      </c>
      <c r="E228" s="353">
        <f>E224*D228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rowBreaks count="11" manualBreakCount="11">
    <brk id="19" max="255" man="1"/>
    <brk id="38" max="255" man="1"/>
    <brk id="57" max="255" man="1"/>
    <brk id="76" max="255" man="1"/>
    <brk id="95" max="255" man="1"/>
    <brk id="114" max="255" man="1"/>
    <brk id="133" max="255" man="1"/>
    <brk id="152" max="255" man="1"/>
    <brk id="171" max="255" man="1"/>
    <brk id="190" max="255" man="1"/>
    <brk id="2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3.25390625" style="239" customWidth="1"/>
    <col min="2" max="2" width="40.25390625" style="241" customWidth="1"/>
    <col min="3" max="4" width="9.125" style="241" customWidth="1"/>
    <col min="5" max="5" width="17.375" style="254" customWidth="1"/>
    <col min="6" max="6" width="2.875" style="241" customWidth="1"/>
  </cols>
  <sheetData>
    <row r="1" spans="1:6" ht="15.75">
      <c r="A1" s="91" t="s">
        <v>256</v>
      </c>
      <c r="B1" s="185" t="str">
        <f>+Adatlap!A17</f>
        <v>Próba Kft.</v>
      </c>
      <c r="C1" s="11" t="s">
        <v>267</v>
      </c>
      <c r="D1" s="11">
        <v>1</v>
      </c>
      <c r="E1" s="449" t="s">
        <v>362</v>
      </c>
      <c r="F1" s="450"/>
    </row>
    <row r="2" ht="6" customHeight="1"/>
    <row r="3" spans="1:6" ht="15.75">
      <c r="A3" s="451" t="s">
        <v>257</v>
      </c>
      <c r="B3" s="451"/>
      <c r="C3" s="451"/>
      <c r="D3" s="451"/>
      <c r="E3" s="451"/>
      <c r="F3" s="451"/>
    </row>
    <row r="4" spans="1:5" ht="5.25" customHeight="1">
      <c r="A4" s="238"/>
      <c r="B4" s="239"/>
      <c r="C4" s="239"/>
      <c r="D4" s="239"/>
      <c r="E4" s="240"/>
    </row>
    <row r="5" spans="1:6" ht="15.75">
      <c r="A5" s="242" t="s">
        <v>258</v>
      </c>
      <c r="B5" s="243" t="s">
        <v>88</v>
      </c>
      <c r="C5" s="243" t="s">
        <v>259</v>
      </c>
      <c r="D5" s="243" t="s">
        <v>260</v>
      </c>
      <c r="E5" s="452" t="s">
        <v>119</v>
      </c>
      <c r="F5" s="453"/>
    </row>
    <row r="6" spans="1:6" ht="6.75" customHeight="1">
      <c r="A6" s="244"/>
      <c r="B6" s="245"/>
      <c r="C6" s="204"/>
      <c r="D6" s="204"/>
      <c r="E6" s="246"/>
      <c r="F6" s="247"/>
    </row>
    <row r="7" spans="1:6" ht="15.75">
      <c r="A7" s="244">
        <v>5001</v>
      </c>
      <c r="B7" s="154" t="s">
        <v>261</v>
      </c>
      <c r="C7" s="204">
        <v>5411</v>
      </c>
      <c r="D7" s="204">
        <v>471</v>
      </c>
      <c r="E7" s="248">
        <f>+VLOOKUP($D$1,Adótáblák!A8:B19,2)-E9-E11*0.9+VLOOKUP($D$1,Adótáblák!A148:B159,2)-VLOOKUP($D$1,Adótáblák!J88:N99,5)+VLOOKUP($D$1,Adótáblák!A68:C79,3)</f>
        <v>0</v>
      </c>
      <c r="F7" s="247"/>
    </row>
    <row r="8" spans="1:6" ht="15.75">
      <c r="A8" s="244"/>
      <c r="B8" s="154"/>
      <c r="C8" s="204"/>
      <c r="D8" s="204"/>
      <c r="E8" s="249"/>
      <c r="F8" s="247"/>
    </row>
    <row r="9" spans="1:6" ht="15.75">
      <c r="A9" s="244">
        <v>5002</v>
      </c>
      <c r="B9" s="154" t="s">
        <v>262</v>
      </c>
      <c r="C9" s="204">
        <v>5412</v>
      </c>
      <c r="D9" s="204">
        <v>471</v>
      </c>
      <c r="E9" s="248"/>
      <c r="F9" s="247"/>
    </row>
    <row r="10" spans="1:6" ht="15.75">
      <c r="A10" s="244"/>
      <c r="B10" s="154"/>
      <c r="C10" s="204"/>
      <c r="D10" s="204"/>
      <c r="E10" s="249"/>
      <c r="F10" s="247"/>
    </row>
    <row r="11" spans="1:6" ht="15.75">
      <c r="A11" s="244">
        <v>5003</v>
      </c>
      <c r="B11" s="154" t="s">
        <v>263</v>
      </c>
      <c r="C11" s="204">
        <v>5413</v>
      </c>
      <c r="D11" s="204">
        <v>471</v>
      </c>
      <c r="E11" s="248"/>
      <c r="F11" s="247"/>
    </row>
    <row r="12" spans="1:6" ht="15.75">
      <c r="A12" s="244"/>
      <c r="B12" s="154"/>
      <c r="C12" s="204"/>
      <c r="D12" s="204"/>
      <c r="E12" s="249"/>
      <c r="F12" s="247"/>
    </row>
    <row r="13" spans="1:6" ht="15.75">
      <c r="A13" s="244">
        <v>5008</v>
      </c>
      <c r="B13" s="154" t="s">
        <v>298</v>
      </c>
      <c r="C13" s="204">
        <v>561</v>
      </c>
      <c r="D13" s="204">
        <v>4637</v>
      </c>
      <c r="E13" s="248">
        <f>+VLOOKUP($D$1,Adótáblák!A48:E59,3)</f>
        <v>0</v>
      </c>
      <c r="F13" s="247"/>
    </row>
    <row r="14" spans="1:6" ht="15.75">
      <c r="A14" s="244"/>
      <c r="B14" s="154"/>
      <c r="C14" s="204"/>
      <c r="D14" s="204"/>
      <c r="E14" s="249"/>
      <c r="F14" s="247"/>
    </row>
    <row r="15" spans="1:6" ht="15.75">
      <c r="A15" s="244">
        <v>5009</v>
      </c>
      <c r="B15" s="154" t="s">
        <v>380</v>
      </c>
      <c r="C15" s="204">
        <v>561</v>
      </c>
      <c r="D15" s="204">
        <v>4636</v>
      </c>
      <c r="E15" s="248">
        <f>+VLOOKUP($D$1,Adótáblák!A8:E19,3)+VLOOKUP($D$1,Adótáblák!A8:E19,4)+VLOOKUP($D$1,Adótáblák!A8:E19,5)+VLOOKUP($D$1,Adótáblák!A8:O19,13)</f>
        <v>0</v>
      </c>
      <c r="F15" s="247"/>
    </row>
    <row r="16" spans="1:6" ht="15.75">
      <c r="A16" s="244"/>
      <c r="B16" s="154"/>
      <c r="C16" s="204"/>
      <c r="D16" s="204"/>
      <c r="E16" s="249"/>
      <c r="F16" s="247"/>
    </row>
    <row r="17" spans="1:6" ht="15.75">
      <c r="A17" s="244">
        <v>5010</v>
      </c>
      <c r="B17" s="154" t="s">
        <v>299</v>
      </c>
      <c r="C17" s="204">
        <v>471</v>
      </c>
      <c r="D17" s="204">
        <v>4637</v>
      </c>
      <c r="E17" s="248">
        <f>+VLOOKUP($D$1,Adótáblák!A48:E59,4)+VLOOKUP($D$1,Adótáblák!A48:E59,5)</f>
        <v>0</v>
      </c>
      <c r="F17" s="247"/>
    </row>
    <row r="18" spans="1:6" ht="15.75">
      <c r="A18" s="244"/>
      <c r="B18" s="154"/>
      <c r="C18" s="204"/>
      <c r="D18" s="204"/>
      <c r="E18" s="249"/>
      <c r="F18" s="247"/>
    </row>
    <row r="19" spans="1:6" ht="15.75">
      <c r="A19" s="244">
        <v>5011</v>
      </c>
      <c r="B19" s="154" t="s">
        <v>381</v>
      </c>
      <c r="C19" s="204">
        <v>471</v>
      </c>
      <c r="D19" s="204">
        <v>4636</v>
      </c>
      <c r="E19" s="248">
        <f>+VLOOKUP($D$1,Adótáblák!A8:H19,6)+VLOOKUP($D$1,Adótáblák!A8:H19,7)+VLOOKUP($D$1,Adótáblák!A8:H19,8)</f>
        <v>0</v>
      </c>
      <c r="F19" s="247"/>
    </row>
    <row r="20" spans="1:6" ht="15.75">
      <c r="A20" s="244"/>
      <c r="B20" s="154"/>
      <c r="C20" s="204"/>
      <c r="D20" s="204"/>
      <c r="E20" s="249"/>
      <c r="F20" s="247"/>
    </row>
    <row r="21" spans="1:6" ht="15.75">
      <c r="A21" s="244">
        <v>5012</v>
      </c>
      <c r="B21" s="154" t="s">
        <v>20</v>
      </c>
      <c r="C21" s="204">
        <v>471</v>
      </c>
      <c r="D21" s="204">
        <v>4621</v>
      </c>
      <c r="E21" s="248">
        <f>+VLOOKUP($D$1,Adótáblák!A88:E99,3)</f>
        <v>0</v>
      </c>
      <c r="F21" s="247"/>
    </row>
    <row r="22" spans="1:6" ht="15.75">
      <c r="A22" s="244"/>
      <c r="B22" s="154"/>
      <c r="C22" s="204"/>
      <c r="D22" s="204"/>
      <c r="E22" s="249"/>
      <c r="F22" s="247"/>
    </row>
    <row r="23" spans="1:6" ht="15.75">
      <c r="A23" s="244">
        <v>5013</v>
      </c>
      <c r="B23" s="154" t="s">
        <v>94</v>
      </c>
      <c r="C23" s="204">
        <v>562</v>
      </c>
      <c r="D23" s="204">
        <v>4634</v>
      </c>
      <c r="E23" s="248">
        <f>+VLOOKUP($D$1,Adótáblák!A68:E79,5)</f>
        <v>0</v>
      </c>
      <c r="F23" s="247"/>
    </row>
    <row r="24" spans="1:6" ht="15.75">
      <c r="A24" s="244"/>
      <c r="B24" s="154"/>
      <c r="C24" s="204"/>
      <c r="D24" s="204"/>
      <c r="E24" s="249"/>
      <c r="F24" s="247"/>
    </row>
    <row r="25" spans="1:6" ht="15.75">
      <c r="A25" s="244">
        <v>5021</v>
      </c>
      <c r="B25" s="154" t="s">
        <v>264</v>
      </c>
      <c r="C25" s="204">
        <v>471</v>
      </c>
      <c r="D25" s="204">
        <v>4731</v>
      </c>
      <c r="E25" s="248">
        <f>+VLOOKUP($D$1,magán1,2)</f>
        <v>0</v>
      </c>
      <c r="F25" s="247"/>
    </row>
    <row r="26" spans="1:6" ht="15.75">
      <c r="A26" s="244"/>
      <c r="B26" s="256"/>
      <c r="C26" s="204"/>
      <c r="D26" s="204"/>
      <c r="E26" s="252"/>
      <c r="F26" s="247"/>
    </row>
    <row r="27" spans="1:6" ht="15.75">
      <c r="A27" s="244">
        <v>5022</v>
      </c>
      <c r="B27" s="154" t="s">
        <v>274</v>
      </c>
      <c r="C27" s="204">
        <v>471</v>
      </c>
      <c r="D27" s="204">
        <v>4732</v>
      </c>
      <c r="E27" s="248">
        <f>+VLOOKUP($D$1,magán1,4)</f>
        <v>0</v>
      </c>
      <c r="F27" s="247"/>
    </row>
    <row r="28" spans="1:6" ht="15.75">
      <c r="A28" s="244"/>
      <c r="B28" s="154"/>
      <c r="C28" s="204"/>
      <c r="D28" s="204"/>
      <c r="E28" s="252"/>
      <c r="F28" s="247"/>
    </row>
    <row r="29" spans="1:6" ht="15.75">
      <c r="A29" s="244">
        <v>5023</v>
      </c>
      <c r="B29" s="154" t="s">
        <v>426</v>
      </c>
      <c r="C29" s="204">
        <v>471</v>
      </c>
      <c r="D29" s="204">
        <v>4733</v>
      </c>
      <c r="E29" s="248">
        <f>+VLOOKUP($D$1,magán1,6)</f>
        <v>0</v>
      </c>
      <c r="F29" s="247"/>
    </row>
    <row r="30" spans="1:6" ht="15.75">
      <c r="A30" s="244"/>
      <c r="B30" s="154"/>
      <c r="C30" s="204"/>
      <c r="D30" s="204"/>
      <c r="E30" s="252"/>
      <c r="F30" s="247"/>
    </row>
    <row r="31" spans="1:6" ht="15.75">
      <c r="A31" s="244">
        <v>5024</v>
      </c>
      <c r="B31" s="154" t="s">
        <v>427</v>
      </c>
      <c r="C31" s="204">
        <v>471</v>
      </c>
      <c r="D31" s="204">
        <v>4734</v>
      </c>
      <c r="E31" s="248">
        <f>+VLOOKUP($D$1,magán1,8)</f>
        <v>0</v>
      </c>
      <c r="F31" s="247"/>
    </row>
    <row r="32" spans="1:6" ht="15.75">
      <c r="A32" s="244"/>
      <c r="B32" s="154"/>
      <c r="C32" s="204"/>
      <c r="D32" s="204"/>
      <c r="E32" s="252"/>
      <c r="F32" s="247"/>
    </row>
    <row r="33" spans="1:6" ht="15.75">
      <c r="A33" s="244">
        <v>5025</v>
      </c>
      <c r="B33" s="154" t="s">
        <v>428</v>
      </c>
      <c r="C33" s="204">
        <v>471</v>
      </c>
      <c r="D33" s="204">
        <v>4735</v>
      </c>
      <c r="E33" s="248">
        <f>+VLOOKUP($D$1,magán1,10)</f>
        <v>0</v>
      </c>
      <c r="F33" s="247"/>
    </row>
    <row r="34" spans="1:6" ht="15.75">
      <c r="A34" s="244"/>
      <c r="B34" s="154"/>
      <c r="C34" s="204"/>
      <c r="D34" s="204"/>
      <c r="E34" s="252"/>
      <c r="F34" s="247"/>
    </row>
    <row r="35" spans="1:6" ht="15.75">
      <c r="A35" s="244">
        <v>5018</v>
      </c>
      <c r="B35" s="154" t="s">
        <v>300</v>
      </c>
      <c r="C35" s="204">
        <v>565</v>
      </c>
      <c r="D35" s="204">
        <v>4638</v>
      </c>
      <c r="E35" s="248">
        <f>+VLOOKUP($D$1,Adótáblák!$A$148:$E$159,5)</f>
        <v>0</v>
      </c>
      <c r="F35" s="247"/>
    </row>
    <row r="36" spans="1:6" ht="15.75">
      <c r="A36" s="244"/>
      <c r="B36" s="154"/>
      <c r="C36" s="204"/>
      <c r="D36" s="204"/>
      <c r="E36" s="252"/>
      <c r="F36" s="247"/>
    </row>
    <row r="37" spans="1:6" ht="15.75">
      <c r="A37" s="244">
        <v>5019</v>
      </c>
      <c r="B37" s="154" t="s">
        <v>415</v>
      </c>
      <c r="C37" s="204">
        <v>5511</v>
      </c>
      <c r="D37" s="204">
        <v>3681</v>
      </c>
      <c r="E37" s="248">
        <f>+VLOOKUP($D$1,Adótáblák!$J$88:$M$99,4)</f>
        <v>0</v>
      </c>
      <c r="F37" s="247"/>
    </row>
    <row r="38" spans="1:6" ht="15.75">
      <c r="A38" s="244"/>
      <c r="B38" s="154"/>
      <c r="C38" s="204"/>
      <c r="D38" s="204"/>
      <c r="E38" s="252"/>
      <c r="F38" s="247"/>
    </row>
    <row r="39" spans="1:6" ht="15.75">
      <c r="A39" s="244">
        <v>5043</v>
      </c>
      <c r="B39" s="154" t="s">
        <v>422</v>
      </c>
      <c r="C39" s="204">
        <v>5559</v>
      </c>
      <c r="D39" s="204">
        <v>4621</v>
      </c>
      <c r="E39" s="248">
        <f>+VLOOKUP($D$1,Adótáblák!$A$107:$H$118,3)+VLOOKUP($D$1,Adótáblák!$A$107:$H$118,5)</f>
        <v>0</v>
      </c>
      <c r="F39" s="247"/>
    </row>
    <row r="40" spans="1:6" ht="15.75">
      <c r="A40" s="244"/>
      <c r="B40" s="154"/>
      <c r="C40" s="204"/>
      <c r="D40" s="204"/>
      <c r="E40" s="252"/>
      <c r="F40" s="247"/>
    </row>
    <row r="41" spans="1:6" ht="15.75">
      <c r="A41" s="244">
        <v>5020</v>
      </c>
      <c r="B41" s="154" t="s">
        <v>289</v>
      </c>
      <c r="C41" s="204">
        <v>471</v>
      </c>
      <c r="D41" s="204">
        <v>476</v>
      </c>
      <c r="E41" s="248"/>
      <c r="F41" s="247"/>
    </row>
    <row r="42" spans="1:6" ht="9" customHeight="1">
      <c r="A42" s="250"/>
      <c r="B42" s="152"/>
      <c r="C42" s="251"/>
      <c r="D42" s="251"/>
      <c r="E42" s="252"/>
      <c r="F42" s="253"/>
    </row>
    <row r="44" spans="2:5" ht="15">
      <c r="B44" s="241" t="s">
        <v>344</v>
      </c>
      <c r="E44" s="301">
        <f>+(E7+E9+E11+E13+E15+E35+E37+E23+E39)*2+E17+E19+E21+E25+E27+E41+E29+E31+E33</f>
        <v>0</v>
      </c>
    </row>
    <row r="45" spans="2:5" ht="15">
      <c r="B45" s="241" t="s">
        <v>314</v>
      </c>
      <c r="E45" s="301">
        <f>+E13+E15+E17+E19+E21+E25+E27+E35+E29+E31+E33+E39+E23</f>
        <v>0</v>
      </c>
    </row>
    <row r="46" spans="2:5" ht="15">
      <c r="B46" s="241" t="s">
        <v>269</v>
      </c>
      <c r="E46" s="283">
        <f>+E7+E9+E11-E17-E19-E21-E25-E41-E27-E29-E31-E33</f>
        <v>0</v>
      </c>
    </row>
    <row r="48" spans="1:2" ht="14.25">
      <c r="A48" s="237" t="s">
        <v>268</v>
      </c>
      <c r="B48" s="255">
        <f ca="1">+TODAY()</f>
        <v>40233</v>
      </c>
    </row>
    <row r="49" ht="14.25">
      <c r="C49" s="241" t="s">
        <v>265</v>
      </c>
    </row>
    <row r="50" spans="3:5" ht="14.25">
      <c r="C50" s="454" t="str">
        <f>+Adatlap!C32</f>
        <v>KT</v>
      </c>
      <c r="D50" s="454"/>
      <c r="E50" s="454"/>
    </row>
  </sheetData>
  <sheetProtection/>
  <mergeCells count="4">
    <mergeCell ref="E1:F1"/>
    <mergeCell ref="A3:F3"/>
    <mergeCell ref="E5:F5"/>
    <mergeCell ref="C50:E50"/>
  </mergeCells>
  <printOptions/>
  <pageMargins left="0.75" right="0.34" top="1" bottom="1" header="0.5" footer="0.5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75390625" style="239" customWidth="1"/>
    <col min="2" max="2" width="35.125" style="241" customWidth="1"/>
    <col min="3" max="4" width="9.125" style="241" customWidth="1"/>
    <col min="5" max="5" width="17.375" style="254" customWidth="1"/>
    <col min="6" max="6" width="3.00390625" style="254" customWidth="1"/>
    <col min="7" max="7" width="7.00390625" style="254" bestFit="1" customWidth="1"/>
    <col min="8" max="8" width="2.875" style="241" customWidth="1"/>
  </cols>
  <sheetData>
    <row r="1" spans="1:8" ht="15.75">
      <c r="A1" s="91" t="s">
        <v>256</v>
      </c>
      <c r="B1" s="185" t="str">
        <f>+Adatlap!A17</f>
        <v>Próba Kft.</v>
      </c>
      <c r="C1" s="11" t="s">
        <v>267</v>
      </c>
      <c r="D1" s="11">
        <v>1</v>
      </c>
      <c r="E1" s="449" t="s">
        <v>362</v>
      </c>
      <c r="F1" s="449"/>
      <c r="G1" s="449"/>
      <c r="H1" s="450"/>
    </row>
    <row r="3" spans="1:8" ht="15.75">
      <c r="A3" s="451" t="s">
        <v>288</v>
      </c>
      <c r="B3" s="451"/>
      <c r="C3" s="451"/>
      <c r="D3" s="451"/>
      <c r="E3" s="451"/>
      <c r="F3" s="451"/>
      <c r="G3" s="451"/>
      <c r="H3" s="451"/>
    </row>
    <row r="4" spans="1:7" ht="15">
      <c r="A4" s="238"/>
      <c r="B4" s="239"/>
      <c r="C4" s="239"/>
      <c r="D4" s="239"/>
      <c r="E4" s="240"/>
      <c r="F4" s="240"/>
      <c r="G4" s="240"/>
    </row>
    <row r="5" spans="1:8" ht="15.75">
      <c r="A5" s="242" t="s">
        <v>258</v>
      </c>
      <c r="B5" s="243" t="s">
        <v>88</v>
      </c>
      <c r="C5" s="243" t="s">
        <v>259</v>
      </c>
      <c r="D5" s="243" t="s">
        <v>260</v>
      </c>
      <c r="E5" s="452" t="s">
        <v>315</v>
      </c>
      <c r="F5" s="452"/>
      <c r="G5" s="452"/>
      <c r="H5" s="453"/>
    </row>
    <row r="6" spans="1:8" ht="15">
      <c r="A6" s="244"/>
      <c r="B6" s="245"/>
      <c r="C6" s="204"/>
      <c r="D6" s="204"/>
      <c r="E6" s="427" t="s">
        <v>430</v>
      </c>
      <c r="F6" s="302"/>
      <c r="G6" s="302" t="s">
        <v>429</v>
      </c>
      <c r="H6" s="247"/>
    </row>
    <row r="7" spans="1:8" ht="15">
      <c r="A7" s="244"/>
      <c r="B7" s="245"/>
      <c r="C7" s="204"/>
      <c r="D7" s="204"/>
      <c r="E7" s="428"/>
      <c r="F7" s="302"/>
      <c r="G7" s="302"/>
      <c r="H7" s="247"/>
    </row>
    <row r="8" spans="1:8" ht="15.75">
      <c r="A8" s="244">
        <v>5041</v>
      </c>
      <c r="B8" s="154" t="s">
        <v>424</v>
      </c>
      <c r="C8" s="204">
        <v>561</v>
      </c>
      <c r="D8" s="204">
        <v>4637</v>
      </c>
      <c r="E8" s="248">
        <f>+VLOOKUP($D$1,Adótáblák!$A$48:$H$59,8)</f>
        <v>0</v>
      </c>
      <c r="F8" s="303"/>
      <c r="G8" s="248">
        <f>+VLOOKUP($D$1,Adótáblák!$A$48:$J$59,10)/1000</f>
        <v>0</v>
      </c>
      <c r="H8" s="247"/>
    </row>
    <row r="9" spans="1:8" ht="15">
      <c r="A9" s="244"/>
      <c r="B9" s="245"/>
      <c r="C9" s="204"/>
      <c r="D9" s="204"/>
      <c r="E9" s="246"/>
      <c r="F9" s="302"/>
      <c r="G9" s="302"/>
      <c r="H9" s="247"/>
    </row>
    <row r="10" spans="1:8" ht="15.75">
      <c r="A10" s="244">
        <v>5042</v>
      </c>
      <c r="B10" s="154" t="s">
        <v>423</v>
      </c>
      <c r="C10" s="204">
        <v>561</v>
      </c>
      <c r="D10" s="204">
        <v>4636</v>
      </c>
      <c r="E10" s="248">
        <f>+VLOOKUP($D$1,Adótáblák!B27:K38,2)+VLOOKUP($D$1,Adótáblák!B27:K38,5)+VLOOKUP($D$1,Adótáblák!B27:K38,8)</f>
        <v>0</v>
      </c>
      <c r="F10" s="304"/>
      <c r="G10" s="304"/>
      <c r="H10" s="247"/>
    </row>
    <row r="11" spans="1:8" ht="15.75">
      <c r="A11" s="306"/>
      <c r="B11" s="77"/>
      <c r="C11" s="307">
        <v>0.015</v>
      </c>
      <c r="D11" s="308"/>
      <c r="E11" s="309">
        <f>+VLOOKUP($D$1,Adótáblák!$B$27:$K$38,2)</f>
        <v>0</v>
      </c>
      <c r="F11" s="101"/>
      <c r="G11" s="248">
        <f>+VLOOKUP($D$1,Adótáblák!$B$27:$K$38,4)/1000</f>
        <v>0</v>
      </c>
      <c r="H11" s="247"/>
    </row>
    <row r="12" spans="1:8" ht="15.75">
      <c r="A12" s="306"/>
      <c r="B12" s="77"/>
      <c r="C12" s="307">
        <v>0.005</v>
      </c>
      <c r="D12" s="308"/>
      <c r="E12" s="309">
        <f>+VLOOKUP($D$1,Adótáblák!$B$27:$K$38,5)</f>
        <v>0</v>
      </c>
      <c r="F12" s="101"/>
      <c r="G12" s="248">
        <f>+VLOOKUP($D$1,Adótáblák!$B$27:$K$38,7)/1000</f>
        <v>0</v>
      </c>
      <c r="H12" s="247"/>
    </row>
    <row r="13" spans="1:8" ht="15.75">
      <c r="A13" s="306"/>
      <c r="B13" s="77"/>
      <c r="C13" s="307">
        <v>0.01</v>
      </c>
      <c r="D13" s="308"/>
      <c r="E13" s="309">
        <f>+VLOOKUP($D$1,Adótáblák!$B$27:$K$38,8)</f>
        <v>0</v>
      </c>
      <c r="F13" s="101"/>
      <c r="G13" s="248">
        <f>+VLOOKUP($D$1,Adótáblák!$B$27:$K$38,10)/1000</f>
        <v>0</v>
      </c>
      <c r="H13" s="247"/>
    </row>
    <row r="14" spans="1:8" ht="15">
      <c r="A14" s="244"/>
      <c r="B14" s="245"/>
      <c r="C14" s="204"/>
      <c r="D14" s="204"/>
      <c r="E14" s="246"/>
      <c r="F14" s="302"/>
      <c r="G14" s="302"/>
      <c r="H14" s="247"/>
    </row>
    <row r="15" spans="1:8" ht="15.75">
      <c r="A15" s="244">
        <v>5043</v>
      </c>
      <c r="B15" s="154" t="s">
        <v>432</v>
      </c>
      <c r="C15" s="204">
        <v>5559</v>
      </c>
      <c r="D15" s="204">
        <v>4621</v>
      </c>
      <c r="E15" s="248">
        <f>+VLOOKUP($D$1,Adótáblák!$A$107:$O$118,6)</f>
        <v>0</v>
      </c>
      <c r="F15" s="303"/>
      <c r="G15" s="248">
        <f>+VLOOKUP($D$1,Adótáblák!$A$107:$O$118,8)/1000</f>
        <v>0</v>
      </c>
      <c r="H15" s="247"/>
    </row>
    <row r="16" spans="1:8" ht="15.75">
      <c r="A16" s="244"/>
      <c r="B16" s="154"/>
      <c r="C16" s="204"/>
      <c r="D16" s="204"/>
      <c r="E16" s="249"/>
      <c r="F16" s="304"/>
      <c r="G16" s="304"/>
      <c r="H16" s="247"/>
    </row>
    <row r="17" spans="1:8" ht="15.75">
      <c r="A17" s="244">
        <v>5046</v>
      </c>
      <c r="B17" s="154" t="s">
        <v>417</v>
      </c>
      <c r="C17" s="204">
        <v>562</v>
      </c>
      <c r="D17" s="204">
        <v>4634</v>
      </c>
      <c r="E17" s="248"/>
      <c r="F17" s="304"/>
      <c r="G17" s="248"/>
      <c r="H17" s="247"/>
    </row>
    <row r="18" spans="1:8" ht="15.75">
      <c r="A18" s="244"/>
      <c r="B18" s="154"/>
      <c r="C18" s="204"/>
      <c r="D18" s="204"/>
      <c r="E18" s="252"/>
      <c r="F18" s="304"/>
      <c r="G18" s="304"/>
      <c r="H18" s="247"/>
    </row>
    <row r="19" spans="1:8" ht="15.75">
      <c r="A19" s="244">
        <v>5045</v>
      </c>
      <c r="B19" s="154" t="s">
        <v>416</v>
      </c>
      <c r="C19" s="204">
        <v>5599</v>
      </c>
      <c r="D19" s="204">
        <v>4621</v>
      </c>
      <c r="E19" s="248"/>
      <c r="F19" s="304"/>
      <c r="G19" s="248"/>
      <c r="H19" s="247"/>
    </row>
    <row r="20" spans="1:8" ht="15.75">
      <c r="A20" s="244"/>
      <c r="B20" s="154"/>
      <c r="C20" s="204"/>
      <c r="D20" s="204"/>
      <c r="E20" s="252"/>
      <c r="F20" s="304"/>
      <c r="G20" s="304"/>
      <c r="H20" s="247"/>
    </row>
    <row r="21" spans="1:8" ht="15.75">
      <c r="A21" s="244">
        <v>5040</v>
      </c>
      <c r="B21" s="154" t="s">
        <v>322</v>
      </c>
      <c r="C21" s="204">
        <v>8671</v>
      </c>
      <c r="D21" s="204">
        <v>4635</v>
      </c>
      <c r="E21" s="248">
        <f>+VLOOKUP($D$1,Adótáblák!J148:M159,4)</f>
        <v>0</v>
      </c>
      <c r="F21" s="304"/>
      <c r="G21" s="3"/>
      <c r="H21" s="247"/>
    </row>
    <row r="22" spans="1:8" ht="15.75">
      <c r="A22" s="250"/>
      <c r="B22" s="152"/>
      <c r="C22" s="251"/>
      <c r="D22" s="251"/>
      <c r="E22" s="252"/>
      <c r="F22" s="252"/>
      <c r="G22" s="252"/>
      <c r="H22" s="253"/>
    </row>
    <row r="26" spans="1:2" ht="14.25">
      <c r="A26" s="237" t="s">
        <v>268</v>
      </c>
      <c r="B26" s="255">
        <f ca="1">+TODAY()</f>
        <v>40233</v>
      </c>
    </row>
    <row r="27" ht="14.25">
      <c r="C27" s="241" t="s">
        <v>265</v>
      </c>
    </row>
    <row r="28" spans="3:7" ht="14.25">
      <c r="C28" s="454" t="s">
        <v>266</v>
      </c>
      <c r="D28" s="454"/>
      <c r="E28" s="454"/>
      <c r="F28" s="240"/>
      <c r="G28" s="240"/>
    </row>
  </sheetData>
  <sheetProtection/>
  <mergeCells count="4">
    <mergeCell ref="E1:H1"/>
    <mergeCell ref="A3:H3"/>
    <mergeCell ref="E5:H5"/>
    <mergeCell ref="C28:E28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3.00390625" style="0" customWidth="1"/>
    <col min="3" max="3" width="36.875" style="0" customWidth="1"/>
    <col min="4" max="4" width="7.25390625" style="0" customWidth="1"/>
    <col min="5" max="5" width="20.00390625" style="0" customWidth="1"/>
    <col min="6" max="6" width="19.375" style="0" customWidth="1"/>
    <col min="7" max="7" width="12.625" style="0" customWidth="1"/>
  </cols>
  <sheetData>
    <row r="1" spans="1:5" ht="18">
      <c r="A1" s="128" t="s">
        <v>190</v>
      </c>
      <c r="D1" s="116"/>
      <c r="E1" s="136" t="s">
        <v>110</v>
      </c>
    </row>
    <row r="2" spans="1:5" ht="15">
      <c r="A2" s="129" t="s">
        <v>342</v>
      </c>
      <c r="D2" s="116"/>
      <c r="E2" s="137" t="s">
        <v>149</v>
      </c>
    </row>
    <row r="3" spans="1:5" ht="15">
      <c r="A3" s="129"/>
      <c r="D3" s="116"/>
      <c r="E3" s="137" t="s">
        <v>133</v>
      </c>
    </row>
    <row r="4" spans="1:7" ht="15">
      <c r="A4" s="121"/>
      <c r="B4" s="122"/>
      <c r="C4" s="122"/>
      <c r="D4" s="122"/>
      <c r="E4" s="127"/>
      <c r="F4" s="205" t="s">
        <v>210</v>
      </c>
      <c r="G4" s="126"/>
    </row>
    <row r="5" spans="1:7" ht="15">
      <c r="A5" s="140"/>
      <c r="B5" s="141"/>
      <c r="C5" s="141"/>
      <c r="D5" s="141"/>
      <c r="E5" s="142"/>
      <c r="F5" s="3"/>
      <c r="G5" s="3"/>
    </row>
    <row r="6" spans="1:7" ht="15">
      <c r="A6" s="140"/>
      <c r="B6" s="141"/>
      <c r="C6" s="141"/>
      <c r="D6" s="141"/>
      <c r="E6" s="142"/>
      <c r="F6" s="3"/>
      <c r="G6" s="3"/>
    </row>
    <row r="7" spans="1:7" ht="19.5" customHeight="1">
      <c r="A7" s="143" t="s">
        <v>117</v>
      </c>
      <c r="B7" s="144"/>
      <c r="C7" s="144"/>
      <c r="D7" s="144"/>
      <c r="E7" s="145"/>
      <c r="F7" s="145"/>
      <c r="G7" s="145"/>
    </row>
    <row r="8" spans="1:7" ht="19.5" customHeight="1">
      <c r="A8" s="143"/>
      <c r="B8" s="144"/>
      <c r="C8" s="144"/>
      <c r="D8" s="144"/>
      <c r="E8" s="145"/>
      <c r="F8" s="145"/>
      <c r="G8" s="145"/>
    </row>
    <row r="9" spans="1:7" ht="15">
      <c r="A9" s="140"/>
      <c r="B9" s="141"/>
      <c r="C9" s="141"/>
      <c r="D9" s="141"/>
      <c r="E9" s="142"/>
      <c r="F9" s="3"/>
      <c r="G9" s="3"/>
    </row>
    <row r="10" spans="1:4" s="123" customFormat="1" ht="21" customHeight="1">
      <c r="A10" s="12" t="s">
        <v>125</v>
      </c>
      <c r="B10" s="76"/>
      <c r="C10" s="11" t="str">
        <f>Adatlap!A17</f>
        <v>Próba Kft.</v>
      </c>
      <c r="D10" s="76"/>
    </row>
    <row r="11" spans="1:7" s="123" customFormat="1" ht="21" customHeight="1">
      <c r="A11" s="12" t="s">
        <v>116</v>
      </c>
      <c r="B11" s="76"/>
      <c r="C11" s="11" t="str">
        <f>Adatlap!C33</f>
        <v>PJ</v>
      </c>
      <c r="D11" s="76"/>
      <c r="E11" s="139" t="s">
        <v>124</v>
      </c>
      <c r="G11" s="109" t="str">
        <f>Adatlap!C32</f>
        <v>KT</v>
      </c>
    </row>
    <row r="12" spans="1:7" s="124" customFormat="1" ht="20.25" customHeight="1">
      <c r="A12" s="138" t="s">
        <v>126</v>
      </c>
      <c r="B12" s="76"/>
      <c r="C12" s="12" t="str">
        <f>Adatlap!C35</f>
        <v>123-45-67</v>
      </c>
      <c r="D12" s="76"/>
      <c r="E12" s="139" t="s">
        <v>123</v>
      </c>
      <c r="F12" s="76"/>
      <c r="G12" s="155">
        <f ca="1">TODAY()</f>
        <v>40233</v>
      </c>
    </row>
    <row r="13" spans="1:7" s="124" customFormat="1" ht="20.25" customHeight="1">
      <c r="A13" s="153" t="s">
        <v>127</v>
      </c>
      <c r="B13" s="77"/>
      <c r="C13" s="154" t="str">
        <f>Adatlap!C36</f>
        <v>765-43-21</v>
      </c>
      <c r="D13" s="77"/>
      <c r="E13" s="77"/>
      <c r="F13" s="77"/>
      <c r="G13" s="77"/>
    </row>
    <row r="14" spans="1:7" s="124" customFormat="1" ht="12" customHeight="1">
      <c r="A14" s="150" t="s">
        <v>434</v>
      </c>
      <c r="B14" s="151"/>
      <c r="C14" s="152" t="str">
        <f>+Adatlap!C37</f>
        <v>info@probakft.hu</v>
      </c>
      <c r="D14" s="151"/>
      <c r="E14" s="151"/>
      <c r="F14" s="151"/>
      <c r="G14" s="151"/>
    </row>
    <row r="15" spans="2:7" s="124" customFormat="1" ht="12.75">
      <c r="B15" s="87"/>
      <c r="C15" s="87"/>
      <c r="D15" s="87"/>
      <c r="E15" s="87"/>
      <c r="F15" s="87"/>
      <c r="G15" s="87"/>
    </row>
    <row r="16" spans="1:7" s="123" customFormat="1" ht="15.75">
      <c r="A16" s="56"/>
      <c r="B16" s="57"/>
      <c r="C16" s="109" t="s">
        <v>152</v>
      </c>
      <c r="D16" s="109">
        <f>+Adatlap!B11</f>
        <v>2010</v>
      </c>
      <c r="E16" s="56">
        <v>1</v>
      </c>
      <c r="F16" s="185" t="s">
        <v>203</v>
      </c>
      <c r="G16" s="57"/>
    </row>
    <row r="17" spans="1:7" s="123" customFormat="1" ht="10.5" customHeight="1">
      <c r="A17" s="56"/>
      <c r="B17" s="57"/>
      <c r="C17" s="202" t="s">
        <v>197</v>
      </c>
      <c r="D17" s="203" t="s">
        <v>198</v>
      </c>
      <c r="E17" s="57"/>
      <c r="F17" s="56"/>
      <c r="G17" s="57"/>
    </row>
    <row r="18" spans="1:7" s="123" customFormat="1" ht="15.75" customHeight="1">
      <c r="A18" s="146"/>
      <c r="B18" s="57"/>
      <c r="C18" s="109" t="s">
        <v>153</v>
      </c>
      <c r="D18" s="120" t="str">
        <f>Adatlap!C30</f>
        <v>11111111-22222222-33333333</v>
      </c>
      <c r="E18" s="57"/>
      <c r="F18" s="56"/>
      <c r="G18" s="57"/>
    </row>
    <row r="19" spans="1:7" s="123" customFormat="1" ht="15.75" customHeight="1">
      <c r="A19" s="56"/>
      <c r="B19" s="57"/>
      <c r="C19" s="109" t="s">
        <v>97</v>
      </c>
      <c r="D19" s="120" t="str">
        <f>Adatlap!C24</f>
        <v>12345678-2-41</v>
      </c>
      <c r="E19" s="57"/>
      <c r="F19" s="56"/>
      <c r="G19" s="57"/>
    </row>
    <row r="20" spans="1:7" s="123" customFormat="1" ht="15.75">
      <c r="A20" s="56"/>
      <c r="B20" s="57"/>
      <c r="C20" s="57"/>
      <c r="D20" s="148"/>
      <c r="E20" s="56"/>
      <c r="F20" s="56"/>
      <c r="G20" s="57"/>
    </row>
    <row r="21" spans="1:7" s="123" customFormat="1" ht="15.75">
      <c r="A21" s="201"/>
      <c r="B21" s="204"/>
      <c r="C21" s="57"/>
      <c r="D21" s="147"/>
      <c r="E21" s="56"/>
      <c r="F21" s="56"/>
      <c r="G21" s="57"/>
    </row>
    <row r="22" spans="1:7" s="124" customFormat="1" ht="12.75">
      <c r="A22" s="131"/>
      <c r="B22" s="76"/>
      <c r="C22" s="76"/>
      <c r="D22" s="132"/>
      <c r="E22" s="132"/>
      <c r="F22" s="132"/>
      <c r="G22" s="76"/>
    </row>
    <row r="23" spans="1:7" s="125" customFormat="1" ht="15">
      <c r="A23" s="133" t="s">
        <v>31</v>
      </c>
      <c r="B23" s="133"/>
      <c r="C23" s="133" t="s">
        <v>88</v>
      </c>
      <c r="D23" s="77"/>
      <c r="E23" s="133" t="s">
        <v>118</v>
      </c>
      <c r="F23" s="78" t="s">
        <v>119</v>
      </c>
      <c r="G23" s="78" t="s">
        <v>120</v>
      </c>
    </row>
    <row r="24" spans="1:7" s="125" customFormat="1" ht="15">
      <c r="A24" s="133"/>
      <c r="B24" s="133"/>
      <c r="C24" s="133"/>
      <c r="D24" s="77"/>
      <c r="E24" s="133"/>
      <c r="F24" s="78"/>
      <c r="G24" s="77"/>
    </row>
    <row r="25" spans="1:7" s="125" customFormat="1" ht="24" customHeight="1">
      <c r="A25" s="162">
        <f>IF($D$17="x",DATE($D$16,$E$16+1,12)," ")</f>
        <v>40221</v>
      </c>
      <c r="B25" s="77"/>
      <c r="C25" s="134" t="s">
        <v>403</v>
      </c>
      <c r="D25" s="134"/>
      <c r="E25" s="77" t="s">
        <v>404</v>
      </c>
      <c r="F25" s="149" t="str">
        <f>IF(D17="x",VLOOKUP($E$16,Adótáblák!B27:M38,12)," ")</f>
        <v> </v>
      </c>
      <c r="G25" s="106" t="s">
        <v>140</v>
      </c>
    </row>
    <row r="26" spans="1:7" s="125" customFormat="1" ht="24" customHeight="1">
      <c r="A26" s="162">
        <f>IF($D$17="x",DATE($D$16,$E$16+1,12)," ")</f>
        <v>40221</v>
      </c>
      <c r="B26" s="77"/>
      <c r="C26" s="134" t="s">
        <v>440</v>
      </c>
      <c r="D26" s="134"/>
      <c r="E26" s="77" t="s">
        <v>441</v>
      </c>
      <c r="F26" s="149">
        <f>IF(D17="x",VLOOKUP($E$16,Adótáblák!L8:O19,3)," ")</f>
        <v>0</v>
      </c>
      <c r="G26" s="106" t="s">
        <v>140</v>
      </c>
    </row>
    <row r="27" spans="1:7" s="125" customFormat="1" ht="24" customHeight="1">
      <c r="A27" s="162">
        <f aca="true" t="shared" si="0" ref="A27:A36">IF($D$17="x",DATE($D$16,$E$16+1,12)," ")</f>
        <v>40221</v>
      </c>
      <c r="B27" s="77"/>
      <c r="C27" s="134" t="s">
        <v>141</v>
      </c>
      <c r="D27" s="134"/>
      <c r="E27" s="77" t="s">
        <v>142</v>
      </c>
      <c r="F27" s="149">
        <f>IF(D17="x",VLOOKUP($E$16,Adótáblák!A48:L59,12)," ")</f>
        <v>0</v>
      </c>
      <c r="G27" s="106" t="s">
        <v>140</v>
      </c>
    </row>
    <row r="28" spans="1:7" s="125" customFormat="1" ht="24" customHeight="1">
      <c r="A28" s="162">
        <f t="shared" si="0"/>
        <v>40221</v>
      </c>
      <c r="B28" s="77"/>
      <c r="C28" s="134" t="s">
        <v>121</v>
      </c>
      <c r="D28" s="134"/>
      <c r="E28" s="77" t="s">
        <v>128</v>
      </c>
      <c r="F28" s="149">
        <f>IF(D17="x",VLOOKUP($E$16,Adótáblák!A68:L79,10)," ")</f>
        <v>0</v>
      </c>
      <c r="G28" s="106" t="s">
        <v>140</v>
      </c>
    </row>
    <row r="29" spans="1:7" s="125" customFormat="1" ht="24" customHeight="1">
      <c r="A29" s="162">
        <f t="shared" si="0"/>
        <v>40221</v>
      </c>
      <c r="B29" s="77"/>
      <c r="C29" s="134" t="s">
        <v>122</v>
      </c>
      <c r="D29" s="130"/>
      <c r="E29" s="77" t="s">
        <v>129</v>
      </c>
      <c r="F29" s="149">
        <f>IF(D17="x",VLOOKUP($E$16,Adótáblák!A107:Q118,12)," ")</f>
        <v>0</v>
      </c>
      <c r="G29" s="106" t="s">
        <v>140</v>
      </c>
    </row>
    <row r="30" spans="1:7" s="125" customFormat="1" ht="24" customHeight="1">
      <c r="A30" s="162">
        <f t="shared" si="0"/>
        <v>40221</v>
      </c>
      <c r="B30" s="77"/>
      <c r="C30" s="195" t="s">
        <v>185</v>
      </c>
      <c r="D30" s="134"/>
      <c r="E30" s="77" t="s">
        <v>216</v>
      </c>
      <c r="F30" s="149">
        <f>IF(D17="x",VLOOKUP($E$16,Adótáblák!A128:M139,2)," ")</f>
        <v>0</v>
      </c>
      <c r="G30" s="106" t="s">
        <v>140</v>
      </c>
    </row>
    <row r="31" spans="1:7" s="125" customFormat="1" ht="24" customHeight="1">
      <c r="A31" s="162">
        <f t="shared" si="0"/>
        <v>40221</v>
      </c>
      <c r="B31" s="77"/>
      <c r="C31" s="195" t="s">
        <v>217</v>
      </c>
      <c r="D31" s="134"/>
      <c r="E31" s="77" t="s">
        <v>218</v>
      </c>
      <c r="F31" s="149">
        <f>IF(D17="x",VLOOKUP($E$16,Adótáblák!A128:M139,4)," ")</f>
        <v>0</v>
      </c>
      <c r="G31" s="106" t="s">
        <v>140</v>
      </c>
    </row>
    <row r="32" spans="1:7" s="125" customFormat="1" ht="24" customHeight="1">
      <c r="A32" s="162">
        <f t="shared" si="0"/>
        <v>40221</v>
      </c>
      <c r="B32" s="77"/>
      <c r="C32" s="195" t="s">
        <v>219</v>
      </c>
      <c r="D32" s="134"/>
      <c r="E32" s="77" t="s">
        <v>220</v>
      </c>
      <c r="F32" s="149">
        <f>IF(D17="x",VLOOKUP($E$16,Adótáblák!A128:M139,6)," ")</f>
        <v>0</v>
      </c>
      <c r="G32" s="106" t="s">
        <v>140</v>
      </c>
    </row>
    <row r="33" spans="1:7" s="125" customFormat="1" ht="24" customHeight="1">
      <c r="A33" s="162">
        <f t="shared" si="0"/>
        <v>40221</v>
      </c>
      <c r="B33" s="77"/>
      <c r="C33" s="195" t="s">
        <v>221</v>
      </c>
      <c r="D33" s="134"/>
      <c r="E33" s="77" t="s">
        <v>222</v>
      </c>
      <c r="F33" s="149">
        <f>IF(D17="x",VLOOKUP($E$16,Adótáblák!A128:M139,8)," ")</f>
        <v>0</v>
      </c>
      <c r="G33" s="106" t="s">
        <v>140</v>
      </c>
    </row>
    <row r="34" spans="1:7" s="125" customFormat="1" ht="24" customHeight="1">
      <c r="A34" s="162">
        <f t="shared" si="0"/>
        <v>40221</v>
      </c>
      <c r="B34" s="77"/>
      <c r="C34" s="195" t="s">
        <v>196</v>
      </c>
      <c r="D34" s="134"/>
      <c r="E34" s="77" t="s">
        <v>223</v>
      </c>
      <c r="F34" s="149">
        <f>IF(D17="x",VLOOKUP($E$16,Adótáblák!A128:M139,10)," ")</f>
        <v>0</v>
      </c>
      <c r="G34" s="106" t="s">
        <v>140</v>
      </c>
    </row>
    <row r="35" spans="1:7" s="125" customFormat="1" ht="24" customHeight="1">
      <c r="A35" s="162">
        <f t="shared" si="0"/>
        <v>40221</v>
      </c>
      <c r="B35" s="77"/>
      <c r="C35" s="195" t="s">
        <v>310</v>
      </c>
      <c r="D35" s="134"/>
      <c r="E35" s="77" t="s">
        <v>311</v>
      </c>
      <c r="F35" s="149">
        <f>IF(D17="x",VLOOKUP($E$16,Adótáblák!A128:M139,12)," ")</f>
        <v>0</v>
      </c>
      <c r="G35" s="106" t="s">
        <v>140</v>
      </c>
    </row>
    <row r="36" spans="1:7" s="125" customFormat="1" ht="24" customHeight="1">
      <c r="A36" s="162">
        <f t="shared" si="0"/>
        <v>40221</v>
      </c>
      <c r="B36" s="77"/>
      <c r="C36" s="134" t="s">
        <v>212</v>
      </c>
      <c r="D36" s="134"/>
      <c r="E36" s="206" t="s">
        <v>213</v>
      </c>
      <c r="F36" s="149">
        <f>IF($D$17="x",VLOOKUP($E$16,Adótáblák!A148:F159,6)," ")</f>
        <v>0</v>
      </c>
      <c r="G36" s="106" t="s">
        <v>140</v>
      </c>
    </row>
    <row r="37" spans="1:7" s="125" customFormat="1" ht="24" customHeight="1">
      <c r="A37" s="162"/>
      <c r="B37" s="77"/>
      <c r="C37" s="310" t="s">
        <v>317</v>
      </c>
      <c r="D37" s="130"/>
      <c r="E37" s="77" t="s">
        <v>318</v>
      </c>
      <c r="F37" s="149">
        <f>IF($D$17="x",VLOOKUP($E$16,Adótáblák!J148:N159,5)," ")</f>
        <v>0</v>
      </c>
      <c r="G37" s="106" t="s">
        <v>140</v>
      </c>
    </row>
    <row r="38" spans="1:7" s="125" customFormat="1" ht="24" customHeight="1">
      <c r="A38" s="162"/>
      <c r="B38" s="77"/>
      <c r="C38" s="134" t="s">
        <v>173</v>
      </c>
      <c r="D38" s="130"/>
      <c r="E38" s="77" t="s">
        <v>174</v>
      </c>
      <c r="F38" s="149"/>
      <c r="G38" s="106" t="s">
        <v>140</v>
      </c>
    </row>
    <row r="39" spans="1:7" s="125" customFormat="1" ht="24" customHeight="1">
      <c r="A39" s="162"/>
      <c r="B39" s="77"/>
      <c r="C39" s="134" t="s">
        <v>150</v>
      </c>
      <c r="D39" s="77"/>
      <c r="E39" s="77" t="s">
        <v>151</v>
      </c>
      <c r="F39" s="149"/>
      <c r="G39" s="106" t="s">
        <v>140</v>
      </c>
    </row>
    <row r="40" spans="1:7" s="125" customFormat="1" ht="24" customHeight="1">
      <c r="A40" s="162"/>
      <c r="B40" s="77"/>
      <c r="C40" s="134" t="s">
        <v>171</v>
      </c>
      <c r="D40" s="77"/>
      <c r="E40" s="77" t="s">
        <v>172</v>
      </c>
      <c r="F40" s="149"/>
      <c r="G40" s="106" t="s">
        <v>140</v>
      </c>
    </row>
    <row r="41" spans="1:7" s="125" customFormat="1" ht="24" customHeight="1">
      <c r="A41" s="162"/>
      <c r="B41" s="77"/>
      <c r="C41" s="134" t="s">
        <v>154</v>
      </c>
      <c r="D41" s="130"/>
      <c r="E41" s="170" t="s">
        <v>155</v>
      </c>
      <c r="F41" s="149"/>
      <c r="G41" s="106" t="s">
        <v>140</v>
      </c>
    </row>
    <row r="42" spans="1:7" ht="24" customHeight="1">
      <c r="A42" s="181"/>
      <c r="C42" t="s">
        <v>406</v>
      </c>
      <c r="E42" t="s">
        <v>405</v>
      </c>
      <c r="F42" s="149"/>
      <c r="G42" s="106" t="s">
        <v>407</v>
      </c>
    </row>
    <row r="43" spans="1:7" ht="24" customHeight="1">
      <c r="A43" s="181"/>
      <c r="E43" s="281" t="s">
        <v>22</v>
      </c>
      <c r="F43" s="280">
        <f>SUM(F25:F42)</f>
        <v>0</v>
      </c>
      <c r="G43" s="135"/>
    </row>
    <row r="44" ht="24" customHeight="1">
      <c r="F44" s="156" t="str">
        <f>G11</f>
        <v>KT</v>
      </c>
    </row>
    <row r="45" ht="6" customHeight="1">
      <c r="F45" s="10" t="s">
        <v>132</v>
      </c>
    </row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printOptions/>
  <pageMargins left="0.17" right="0.17" top="0.69" bottom="0.69" header="0.5" footer="0.44"/>
  <pageSetup fitToHeight="1" fitToWidth="1" horizontalDpi="300" verticalDpi="300" orientation="portrait" paperSize="9" scale="90" r:id="rId4"/>
  <drawing r:id="rId3"/>
  <legacyDrawing r:id="rId2"/>
  <oleObjects>
    <oleObject progId="PBrush" shapeId="15062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2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6.625" style="0" customWidth="1"/>
    <col min="2" max="4" width="9.375" style="0" customWidth="1"/>
    <col min="5" max="6" width="10.125" style="0" bestFit="1" customWidth="1"/>
    <col min="8" max="8" width="9.375" style="0" customWidth="1"/>
    <col min="9" max="9" width="10.375" style="0" customWidth="1"/>
    <col min="10" max="11" width="10.00390625" style="0" customWidth="1"/>
    <col min="12" max="12" width="10.875" style="0" customWidth="1"/>
    <col min="13" max="13" width="10.00390625" style="0" customWidth="1"/>
    <col min="14" max="14" width="10.375" style="0" customWidth="1"/>
    <col min="15" max="15" width="10.375" style="0" bestFit="1" customWidth="1"/>
    <col min="16" max="16" width="8.875" style="0" customWidth="1"/>
  </cols>
  <sheetData>
    <row r="1" spans="5:15" ht="15.75">
      <c r="E1" s="3"/>
      <c r="F1" s="3"/>
      <c r="G1" s="3"/>
      <c r="H1" s="3"/>
      <c r="I1" s="3"/>
      <c r="J1" s="3"/>
      <c r="K1" s="3"/>
      <c r="L1" s="3"/>
      <c r="M1" s="3"/>
      <c r="N1" s="3"/>
      <c r="O1" s="109" t="str">
        <f>Adatlap!$A$17</f>
        <v>Próba Kft.</v>
      </c>
    </row>
    <row r="2" spans="1:16" ht="15.75">
      <c r="A2" s="467" t="str">
        <f>+CONCATENATE(Adatlap!B11,". ÉVI ADÓTÁBLÁK")</f>
        <v>2010. ÉVI ADÓTÁBLÁK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</row>
    <row r="3" spans="1:16" ht="13.5" thickBot="1">
      <c r="A3" s="17" t="s">
        <v>384</v>
      </c>
      <c r="B3" s="3"/>
      <c r="C3" s="3"/>
      <c r="D3" s="3"/>
      <c r="E3" s="3"/>
      <c r="F3" s="3"/>
      <c r="G3" s="3"/>
      <c r="H3" s="3"/>
      <c r="I3" s="173"/>
      <c r="J3" s="173">
        <v>4636</v>
      </c>
      <c r="K3" s="173"/>
      <c r="L3" s="17" t="s">
        <v>438</v>
      </c>
      <c r="M3" s="3"/>
      <c r="N3" s="3"/>
      <c r="O3" s="173">
        <v>4636</v>
      </c>
      <c r="P3" s="173"/>
    </row>
    <row r="4" spans="1:16" ht="12.75">
      <c r="A4" s="18" t="s">
        <v>25</v>
      </c>
      <c r="B4" s="19" t="s">
        <v>49</v>
      </c>
      <c r="C4" s="183">
        <v>0.015</v>
      </c>
      <c r="D4" s="44">
        <v>0.005</v>
      </c>
      <c r="E4" s="293">
        <v>0.01</v>
      </c>
      <c r="F4" s="21">
        <v>0.04</v>
      </c>
      <c r="G4" s="35">
        <v>0.02</v>
      </c>
      <c r="H4" s="293">
        <v>0.015</v>
      </c>
      <c r="I4" s="19" t="s">
        <v>34</v>
      </c>
      <c r="J4" s="23" t="s">
        <v>28</v>
      </c>
      <c r="L4" s="18" t="s">
        <v>25</v>
      </c>
      <c r="M4" s="19">
        <v>4950</v>
      </c>
      <c r="N4" s="183" t="s">
        <v>28</v>
      </c>
      <c r="O4" s="44" t="s">
        <v>29</v>
      </c>
      <c r="P4" s="439" t="s">
        <v>31</v>
      </c>
    </row>
    <row r="5" spans="1:16" ht="13.5" thickBot="1">
      <c r="A5" s="24"/>
      <c r="B5" s="25"/>
      <c r="C5" s="27"/>
      <c r="D5" s="25"/>
      <c r="E5" s="26"/>
      <c r="F5" s="27"/>
      <c r="G5" s="25"/>
      <c r="H5" s="26"/>
      <c r="I5" s="25"/>
      <c r="J5" s="28"/>
      <c r="L5" s="24"/>
      <c r="M5" s="25"/>
      <c r="N5" s="27"/>
      <c r="O5" s="25"/>
      <c r="P5" s="28"/>
    </row>
    <row r="6" spans="1:16" ht="13.5" thickTop="1">
      <c r="A6" s="5"/>
      <c r="B6" s="13"/>
      <c r="C6" s="30"/>
      <c r="D6" s="13"/>
      <c r="E6" s="29"/>
      <c r="F6" s="30"/>
      <c r="G6" s="13"/>
      <c r="H6" s="29"/>
      <c r="I6" s="29"/>
      <c r="J6" s="54"/>
      <c r="L6" s="5"/>
      <c r="M6" s="13"/>
      <c r="N6" s="30"/>
      <c r="O6" s="13"/>
      <c r="P6" s="54"/>
    </row>
    <row r="7" spans="1:16" ht="12.75">
      <c r="A7" s="5" t="s">
        <v>43</v>
      </c>
      <c r="B7" s="13"/>
      <c r="C7" s="30"/>
      <c r="D7" s="13"/>
      <c r="E7" s="29"/>
      <c r="F7" s="30"/>
      <c r="G7" s="13"/>
      <c r="H7" s="29"/>
      <c r="I7" s="29"/>
      <c r="J7" s="54"/>
      <c r="L7" s="5" t="s">
        <v>43</v>
      </c>
      <c r="M7" s="13"/>
      <c r="N7" s="30">
        <v>0</v>
      </c>
      <c r="O7" s="13">
        <v>0</v>
      </c>
      <c r="P7" s="54"/>
    </row>
    <row r="8" spans="1:16" ht="12.75">
      <c r="A8" s="186">
        <v>1</v>
      </c>
      <c r="B8" s="13"/>
      <c r="C8" s="30">
        <f aca="true" t="shared" si="0" ref="C8:C19">ROUND($B8*$C$4,0)</f>
        <v>0</v>
      </c>
      <c r="D8" s="13">
        <f aca="true" t="shared" si="1" ref="D8:D19">ROUND($B8*$D$4,0)</f>
        <v>0</v>
      </c>
      <c r="E8" s="29">
        <f aca="true" t="shared" si="2" ref="E8:E19">ROUND($B8*$E$4,0)</f>
        <v>0</v>
      </c>
      <c r="F8" s="30">
        <f aca="true" t="shared" si="3" ref="F8:F19">ROUND($B8*$F$4,0)</f>
        <v>0</v>
      </c>
      <c r="G8" s="13">
        <f aca="true" t="shared" si="4" ref="G8:G19">ROUND($B8*$G$4,0)</f>
        <v>0</v>
      </c>
      <c r="H8" s="29">
        <f aca="true" t="shared" si="5" ref="H8:H19">ROUND($B8*$H$4,0)</f>
        <v>0</v>
      </c>
      <c r="I8" s="29">
        <f>+C8+D8+E8+F8+G8+H8-D27-G27-J27</f>
        <v>0</v>
      </c>
      <c r="J8" s="54">
        <f>ROUND(I8/1000,0)*1000</f>
        <v>0</v>
      </c>
      <c r="L8" s="186">
        <v>1</v>
      </c>
      <c r="M8" s="13"/>
      <c r="N8" s="30">
        <f>ROUND(M8/1000,0)*1000</f>
        <v>0</v>
      </c>
      <c r="O8" s="13"/>
      <c r="P8" s="54"/>
    </row>
    <row r="9" spans="1:16" ht="12.75">
      <c r="A9" s="186">
        <v>2</v>
      </c>
      <c r="B9" s="13"/>
      <c r="C9" s="30">
        <f t="shared" si="0"/>
        <v>0</v>
      </c>
      <c r="D9" s="13">
        <f t="shared" si="1"/>
        <v>0</v>
      </c>
      <c r="E9" s="29">
        <f t="shared" si="2"/>
        <v>0</v>
      </c>
      <c r="F9" s="30">
        <f t="shared" si="3"/>
        <v>0</v>
      </c>
      <c r="G9" s="13">
        <f t="shared" si="4"/>
        <v>0</v>
      </c>
      <c r="H9" s="29">
        <f t="shared" si="5"/>
        <v>0</v>
      </c>
      <c r="I9" s="29">
        <f aca="true" t="shared" si="6" ref="I9:I20">+C9+D9+E9+F9+G9+H9-D28-G28-J28</f>
        <v>0</v>
      </c>
      <c r="J9" s="54">
        <f aca="true" t="shared" si="7" ref="J9:J19">ROUND(I9/1000,0)*1000</f>
        <v>0</v>
      </c>
      <c r="L9" s="186">
        <v>2</v>
      </c>
      <c r="M9" s="13"/>
      <c r="N9" s="30">
        <f aca="true" t="shared" si="8" ref="N9:N19">ROUND(M9/1000,0)*1000</f>
        <v>0</v>
      </c>
      <c r="O9" s="13"/>
      <c r="P9" s="54"/>
    </row>
    <row r="10" spans="1:16" ht="12.75">
      <c r="A10" s="186">
        <v>3</v>
      </c>
      <c r="B10" s="13"/>
      <c r="C10" s="30">
        <f t="shared" si="0"/>
        <v>0</v>
      </c>
      <c r="D10" s="13">
        <f t="shared" si="1"/>
        <v>0</v>
      </c>
      <c r="E10" s="29">
        <f t="shared" si="2"/>
        <v>0</v>
      </c>
      <c r="F10" s="30">
        <f t="shared" si="3"/>
        <v>0</v>
      </c>
      <c r="G10" s="13">
        <f t="shared" si="4"/>
        <v>0</v>
      </c>
      <c r="H10" s="29">
        <f t="shared" si="5"/>
        <v>0</v>
      </c>
      <c r="I10" s="29">
        <f t="shared" si="6"/>
        <v>0</v>
      </c>
      <c r="J10" s="54">
        <f t="shared" si="7"/>
        <v>0</v>
      </c>
      <c r="L10" s="186">
        <v>3</v>
      </c>
      <c r="M10" s="13"/>
      <c r="N10" s="30">
        <f t="shared" si="8"/>
        <v>0</v>
      </c>
      <c r="O10" s="13"/>
      <c r="P10" s="54"/>
    </row>
    <row r="11" spans="1:16" ht="12.75">
      <c r="A11" s="186">
        <v>4</v>
      </c>
      <c r="B11" s="13"/>
      <c r="C11" s="30">
        <f t="shared" si="0"/>
        <v>0</v>
      </c>
      <c r="D11" s="13">
        <f t="shared" si="1"/>
        <v>0</v>
      </c>
      <c r="E11" s="29">
        <f t="shared" si="2"/>
        <v>0</v>
      </c>
      <c r="F11" s="30">
        <f t="shared" si="3"/>
        <v>0</v>
      </c>
      <c r="G11" s="13">
        <f t="shared" si="4"/>
        <v>0</v>
      </c>
      <c r="H11" s="29">
        <f t="shared" si="5"/>
        <v>0</v>
      </c>
      <c r="I11" s="29">
        <f t="shared" si="6"/>
        <v>0</v>
      </c>
      <c r="J11" s="54">
        <f t="shared" si="7"/>
        <v>0</v>
      </c>
      <c r="L11" s="186">
        <v>4</v>
      </c>
      <c r="M11" s="13"/>
      <c r="N11" s="30">
        <f t="shared" si="8"/>
        <v>0</v>
      </c>
      <c r="O11" s="13"/>
      <c r="P11" s="54"/>
    </row>
    <row r="12" spans="1:16" ht="12.75">
      <c r="A12" s="186">
        <v>5</v>
      </c>
      <c r="B12" s="13"/>
      <c r="C12" s="30">
        <f t="shared" si="0"/>
        <v>0</v>
      </c>
      <c r="D12" s="13">
        <f t="shared" si="1"/>
        <v>0</v>
      </c>
      <c r="E12" s="29">
        <f t="shared" si="2"/>
        <v>0</v>
      </c>
      <c r="F12" s="30">
        <f t="shared" si="3"/>
        <v>0</v>
      </c>
      <c r="G12" s="13">
        <f t="shared" si="4"/>
        <v>0</v>
      </c>
      <c r="H12" s="29">
        <f t="shared" si="5"/>
        <v>0</v>
      </c>
      <c r="I12" s="29">
        <f t="shared" si="6"/>
        <v>0</v>
      </c>
      <c r="J12" s="54">
        <f t="shared" si="7"/>
        <v>0</v>
      </c>
      <c r="L12" s="186">
        <v>5</v>
      </c>
      <c r="M12" s="13"/>
      <c r="N12" s="30">
        <f t="shared" si="8"/>
        <v>0</v>
      </c>
      <c r="O12" s="13"/>
      <c r="P12" s="54"/>
    </row>
    <row r="13" spans="1:16" ht="12.75">
      <c r="A13" s="186">
        <v>6</v>
      </c>
      <c r="B13" s="13"/>
      <c r="C13" s="30">
        <f t="shared" si="0"/>
        <v>0</v>
      </c>
      <c r="D13" s="13">
        <f t="shared" si="1"/>
        <v>0</v>
      </c>
      <c r="E13" s="29">
        <f t="shared" si="2"/>
        <v>0</v>
      </c>
      <c r="F13" s="30">
        <f t="shared" si="3"/>
        <v>0</v>
      </c>
      <c r="G13" s="13">
        <f t="shared" si="4"/>
        <v>0</v>
      </c>
      <c r="H13" s="29">
        <f t="shared" si="5"/>
        <v>0</v>
      </c>
      <c r="I13" s="29">
        <f t="shared" si="6"/>
        <v>0</v>
      </c>
      <c r="J13" s="54">
        <f t="shared" si="7"/>
        <v>0</v>
      </c>
      <c r="L13" s="186">
        <v>6</v>
      </c>
      <c r="M13" s="13"/>
      <c r="N13" s="30">
        <f t="shared" si="8"/>
        <v>0</v>
      </c>
      <c r="O13" s="13"/>
      <c r="P13" s="54"/>
    </row>
    <row r="14" spans="1:16" ht="12.75">
      <c r="A14" s="186">
        <v>7</v>
      </c>
      <c r="B14" s="13"/>
      <c r="C14" s="30">
        <f t="shared" si="0"/>
        <v>0</v>
      </c>
      <c r="D14" s="13">
        <f t="shared" si="1"/>
        <v>0</v>
      </c>
      <c r="E14" s="29">
        <f t="shared" si="2"/>
        <v>0</v>
      </c>
      <c r="F14" s="30">
        <f t="shared" si="3"/>
        <v>0</v>
      </c>
      <c r="G14" s="13">
        <f t="shared" si="4"/>
        <v>0</v>
      </c>
      <c r="H14" s="29">
        <f t="shared" si="5"/>
        <v>0</v>
      </c>
      <c r="I14" s="29">
        <f t="shared" si="6"/>
        <v>0</v>
      </c>
      <c r="J14" s="54">
        <f t="shared" si="7"/>
        <v>0</v>
      </c>
      <c r="L14" s="186">
        <v>7</v>
      </c>
      <c r="M14" s="13"/>
      <c r="N14" s="30">
        <f t="shared" si="8"/>
        <v>0</v>
      </c>
      <c r="O14" s="13"/>
      <c r="P14" s="54"/>
    </row>
    <row r="15" spans="1:16" ht="12.75">
      <c r="A15" s="186">
        <v>8</v>
      </c>
      <c r="B15" s="13"/>
      <c r="C15" s="30">
        <f t="shared" si="0"/>
        <v>0</v>
      </c>
      <c r="D15" s="13">
        <f t="shared" si="1"/>
        <v>0</v>
      </c>
      <c r="E15" s="29">
        <f t="shared" si="2"/>
        <v>0</v>
      </c>
      <c r="F15" s="30">
        <f t="shared" si="3"/>
        <v>0</v>
      </c>
      <c r="G15" s="13">
        <f t="shared" si="4"/>
        <v>0</v>
      </c>
      <c r="H15" s="29">
        <f t="shared" si="5"/>
        <v>0</v>
      </c>
      <c r="I15" s="29">
        <f t="shared" si="6"/>
        <v>0</v>
      </c>
      <c r="J15" s="54">
        <f t="shared" si="7"/>
        <v>0</v>
      </c>
      <c r="L15" s="186">
        <v>8</v>
      </c>
      <c r="M15" s="13"/>
      <c r="N15" s="30">
        <f t="shared" si="8"/>
        <v>0</v>
      </c>
      <c r="O15" s="13"/>
      <c r="P15" s="54"/>
    </row>
    <row r="16" spans="1:16" ht="12.75">
      <c r="A16" s="186">
        <v>9</v>
      </c>
      <c r="B16" s="13"/>
      <c r="C16" s="30">
        <f t="shared" si="0"/>
        <v>0</v>
      </c>
      <c r="D16" s="13">
        <f t="shared" si="1"/>
        <v>0</v>
      </c>
      <c r="E16" s="29">
        <f t="shared" si="2"/>
        <v>0</v>
      </c>
      <c r="F16" s="30">
        <f t="shared" si="3"/>
        <v>0</v>
      </c>
      <c r="G16" s="13">
        <f t="shared" si="4"/>
        <v>0</v>
      </c>
      <c r="H16" s="29">
        <f t="shared" si="5"/>
        <v>0</v>
      </c>
      <c r="I16" s="29">
        <f t="shared" si="6"/>
        <v>0</v>
      </c>
      <c r="J16" s="54">
        <f t="shared" si="7"/>
        <v>0</v>
      </c>
      <c r="L16" s="186">
        <v>9</v>
      </c>
      <c r="M16" s="13"/>
      <c r="N16" s="30">
        <f t="shared" si="8"/>
        <v>0</v>
      </c>
      <c r="O16" s="13"/>
      <c r="P16" s="54"/>
    </row>
    <row r="17" spans="1:16" ht="12.75">
      <c r="A17" s="186">
        <v>10</v>
      </c>
      <c r="B17" s="13"/>
      <c r="C17" s="30">
        <f t="shared" si="0"/>
        <v>0</v>
      </c>
      <c r="D17" s="13">
        <f t="shared" si="1"/>
        <v>0</v>
      </c>
      <c r="E17" s="29">
        <f t="shared" si="2"/>
        <v>0</v>
      </c>
      <c r="F17" s="30">
        <f t="shared" si="3"/>
        <v>0</v>
      </c>
      <c r="G17" s="13">
        <f t="shared" si="4"/>
        <v>0</v>
      </c>
      <c r="H17" s="29">
        <f t="shared" si="5"/>
        <v>0</v>
      </c>
      <c r="I17" s="29">
        <f t="shared" si="6"/>
        <v>0</v>
      </c>
      <c r="J17" s="54">
        <f t="shared" si="7"/>
        <v>0</v>
      </c>
      <c r="L17" s="186">
        <v>10</v>
      </c>
      <c r="M17" s="13"/>
      <c r="N17" s="30">
        <f t="shared" si="8"/>
        <v>0</v>
      </c>
      <c r="O17" s="13"/>
      <c r="P17" s="54"/>
    </row>
    <row r="18" spans="1:16" ht="12.75">
      <c r="A18" s="186">
        <v>11</v>
      </c>
      <c r="B18" s="13"/>
      <c r="C18" s="30">
        <f t="shared" si="0"/>
        <v>0</v>
      </c>
      <c r="D18" s="13">
        <f t="shared" si="1"/>
        <v>0</v>
      </c>
      <c r="E18" s="29">
        <f t="shared" si="2"/>
        <v>0</v>
      </c>
      <c r="F18" s="30">
        <f t="shared" si="3"/>
        <v>0</v>
      </c>
      <c r="G18" s="13">
        <f t="shared" si="4"/>
        <v>0</v>
      </c>
      <c r="H18" s="29">
        <f t="shared" si="5"/>
        <v>0</v>
      </c>
      <c r="I18" s="29">
        <f t="shared" si="6"/>
        <v>0</v>
      </c>
      <c r="J18" s="54">
        <f t="shared" si="7"/>
        <v>0</v>
      </c>
      <c r="L18" s="186">
        <v>11</v>
      </c>
      <c r="M18" s="13"/>
      <c r="N18" s="30">
        <f t="shared" si="8"/>
        <v>0</v>
      </c>
      <c r="O18" s="13"/>
      <c r="P18" s="54"/>
    </row>
    <row r="19" spans="1:16" ht="12.75">
      <c r="A19" s="186">
        <v>12</v>
      </c>
      <c r="B19" s="13"/>
      <c r="C19" s="30">
        <f t="shared" si="0"/>
        <v>0</v>
      </c>
      <c r="D19" s="13">
        <f t="shared" si="1"/>
        <v>0</v>
      </c>
      <c r="E19" s="29">
        <f t="shared" si="2"/>
        <v>0</v>
      </c>
      <c r="F19" s="30">
        <f t="shared" si="3"/>
        <v>0</v>
      </c>
      <c r="G19" s="13">
        <f t="shared" si="4"/>
        <v>0</v>
      </c>
      <c r="H19" s="29">
        <f t="shared" si="5"/>
        <v>0</v>
      </c>
      <c r="I19" s="29">
        <f t="shared" si="6"/>
        <v>0</v>
      </c>
      <c r="J19" s="54">
        <f t="shared" si="7"/>
        <v>0</v>
      </c>
      <c r="L19" s="186">
        <v>12</v>
      </c>
      <c r="M19" s="13"/>
      <c r="N19" s="30">
        <f t="shared" si="8"/>
        <v>0</v>
      </c>
      <c r="O19" s="13"/>
      <c r="P19" s="54"/>
    </row>
    <row r="20" spans="1:16" ht="13.5" thickBot="1">
      <c r="A20" s="5" t="s">
        <v>176</v>
      </c>
      <c r="B20" s="13"/>
      <c r="C20" s="30"/>
      <c r="D20" s="13"/>
      <c r="E20" s="29"/>
      <c r="F20" s="30"/>
      <c r="G20" s="13"/>
      <c r="H20" s="29"/>
      <c r="I20" s="29">
        <f t="shared" si="6"/>
        <v>0</v>
      </c>
      <c r="J20" s="54">
        <f>IF(J21-I21&lt;500,J21-I21,J21-I21)</f>
        <v>0</v>
      </c>
      <c r="L20" s="5" t="s">
        <v>176</v>
      </c>
      <c r="M20" s="13"/>
      <c r="N20" s="30">
        <f>IF(N21-M21&lt;500,N21-M21,N21-M21)</f>
        <v>0</v>
      </c>
      <c r="O20" s="107"/>
      <c r="P20" s="54"/>
    </row>
    <row r="21" spans="1:16" ht="13.5" thickBot="1">
      <c r="A21" s="177" t="s">
        <v>177</v>
      </c>
      <c r="B21" s="32">
        <f>SUM(B7:B19)</f>
        <v>0</v>
      </c>
      <c r="C21" s="32">
        <f aca="true" t="shared" si="9" ref="C21:H21">SUM(C7:C20)</f>
        <v>0</v>
      </c>
      <c r="D21" s="32">
        <f t="shared" si="9"/>
        <v>0</v>
      </c>
      <c r="E21" s="32">
        <f t="shared" si="9"/>
        <v>0</v>
      </c>
      <c r="F21" s="32">
        <f t="shared" si="9"/>
        <v>0</v>
      </c>
      <c r="G21" s="32">
        <f t="shared" si="9"/>
        <v>0</v>
      </c>
      <c r="H21" s="32">
        <f t="shared" si="9"/>
        <v>0</v>
      </c>
      <c r="I21" s="32">
        <f>SUM(I8:I20)</f>
        <v>0</v>
      </c>
      <c r="J21" s="209">
        <f>SUM(J8:J19)</f>
        <v>0</v>
      </c>
      <c r="L21" s="177" t="s">
        <v>177</v>
      </c>
      <c r="M21" s="32">
        <f>SUM(M7:M20)</f>
        <v>0</v>
      </c>
      <c r="N21" s="32">
        <f>SUM(N7:N19)</f>
        <v>0</v>
      </c>
      <c r="O21" s="32">
        <f>SUM(O8:O20)</f>
        <v>0</v>
      </c>
      <c r="P21" s="33">
        <f>+N7-O7+M21-O21</f>
        <v>0</v>
      </c>
    </row>
    <row r="22" spans="1:14" ht="13.5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6" ht="12.75">
      <c r="B23" s="18" t="s">
        <v>25</v>
      </c>
      <c r="C23" s="459" t="s">
        <v>323</v>
      </c>
      <c r="D23" s="460"/>
      <c r="E23" s="460"/>
      <c r="F23" s="460"/>
      <c r="G23" s="460"/>
      <c r="H23" s="460"/>
      <c r="I23" s="460"/>
      <c r="J23" s="460"/>
      <c r="K23" s="461"/>
      <c r="L23" s="159" t="s">
        <v>383</v>
      </c>
      <c r="M23" s="20" t="s">
        <v>105</v>
      </c>
      <c r="N23" s="35" t="s">
        <v>29</v>
      </c>
      <c r="O23" s="19" t="s">
        <v>41</v>
      </c>
      <c r="P23" s="23" t="s">
        <v>31</v>
      </c>
    </row>
    <row r="24" spans="2:16" ht="13.5" thickBot="1">
      <c r="B24" s="24"/>
      <c r="C24" s="294" t="s">
        <v>420</v>
      </c>
      <c r="D24" s="295">
        <v>0.015</v>
      </c>
      <c r="E24" s="38" t="s">
        <v>28</v>
      </c>
      <c r="F24" s="295" t="s">
        <v>419</v>
      </c>
      <c r="G24" s="295">
        <v>0.005</v>
      </c>
      <c r="H24" s="38" t="s">
        <v>28</v>
      </c>
      <c r="I24" s="295" t="s">
        <v>418</v>
      </c>
      <c r="J24" s="295">
        <v>0.01</v>
      </c>
      <c r="K24" s="26" t="s">
        <v>28</v>
      </c>
      <c r="L24" s="27" t="s">
        <v>34</v>
      </c>
      <c r="M24" s="26" t="s">
        <v>106</v>
      </c>
      <c r="N24" s="25"/>
      <c r="O24" s="25"/>
      <c r="P24" s="28"/>
    </row>
    <row r="25" spans="2:16" ht="13.5" thickTop="1">
      <c r="B25" s="5"/>
      <c r="C25" s="31"/>
      <c r="D25" s="13"/>
      <c r="E25" s="13"/>
      <c r="F25" s="13"/>
      <c r="G25" s="13"/>
      <c r="H25" s="13"/>
      <c r="I25" s="13"/>
      <c r="J25" s="13"/>
      <c r="K25" s="29"/>
      <c r="L25" s="30"/>
      <c r="M25" s="29"/>
      <c r="N25" s="13"/>
      <c r="O25" s="13"/>
      <c r="P25" s="14"/>
    </row>
    <row r="26" spans="2:16" ht="12.75">
      <c r="B26" s="5" t="s">
        <v>43</v>
      </c>
      <c r="C26" s="31"/>
      <c r="D26" s="13"/>
      <c r="E26" s="13"/>
      <c r="F26" s="13"/>
      <c r="G26" s="13"/>
      <c r="H26" s="13"/>
      <c r="I26" s="13"/>
      <c r="J26" s="13"/>
      <c r="K26" s="29"/>
      <c r="L26" s="30"/>
      <c r="M26" s="29">
        <v>0</v>
      </c>
      <c r="N26" s="13">
        <v>0</v>
      </c>
      <c r="O26" s="13"/>
      <c r="P26" s="14"/>
    </row>
    <row r="27" spans="2:16" ht="12.75">
      <c r="B27" s="186">
        <v>1</v>
      </c>
      <c r="C27" s="31">
        <f aca="true" t="shared" si="10" ref="C27:C38">E168</f>
        <v>0</v>
      </c>
      <c r="D27" s="13">
        <f>+$N88*D$24</f>
        <v>0</v>
      </c>
      <c r="E27" s="13">
        <f>ROUND((C27+D27)/1000,0)*1000</f>
        <v>0</v>
      </c>
      <c r="F27" s="13">
        <f aca="true" t="shared" si="11" ref="F27:F38">+F168</f>
        <v>0</v>
      </c>
      <c r="G27" s="13">
        <f>+$N88*G$24</f>
        <v>0</v>
      </c>
      <c r="H27" s="13">
        <f>ROUND((F27+G27)/1000,0)*1000</f>
        <v>0</v>
      </c>
      <c r="I27" s="13">
        <f>G168</f>
        <v>0</v>
      </c>
      <c r="J27" s="13">
        <f>+$N88*J$24</f>
        <v>0</v>
      </c>
      <c r="K27" s="13">
        <f>ROUND((I27+J27)/1000,0)*1000</f>
        <v>0</v>
      </c>
      <c r="L27" s="30">
        <f aca="true" t="shared" si="12" ref="L27:L39">+I8+C27+I27+F27</f>
        <v>0</v>
      </c>
      <c r="M27" s="29" t="str">
        <f aca="true" t="shared" si="13" ref="M27:M38">IF(L27=0," ",J8+K27+H27+E27)</f>
        <v> </v>
      </c>
      <c r="N27" s="13"/>
      <c r="O27" s="13"/>
      <c r="P27" s="14"/>
    </row>
    <row r="28" spans="2:16" ht="12.75">
      <c r="B28" s="186">
        <v>2</v>
      </c>
      <c r="C28" s="31">
        <f t="shared" si="10"/>
        <v>0</v>
      </c>
      <c r="D28" s="13">
        <f aca="true" t="shared" si="14" ref="D28:D38">+$N89*D$24</f>
        <v>0</v>
      </c>
      <c r="E28" s="13">
        <f aca="true" t="shared" si="15" ref="E28:E38">ROUND((C28+D28)/1000,0)*1000</f>
        <v>0</v>
      </c>
      <c r="F28" s="13">
        <f t="shared" si="11"/>
        <v>0</v>
      </c>
      <c r="G28" s="13">
        <f aca="true" t="shared" si="16" ref="G28:G38">+$N89*G$24</f>
        <v>0</v>
      </c>
      <c r="H28" s="13">
        <f aca="true" t="shared" si="17" ref="H28:H38">ROUND((F28+G28)/1000,0)*1000</f>
        <v>0</v>
      </c>
      <c r="I28" s="13">
        <f aca="true" t="shared" si="18" ref="I28:I38">G169</f>
        <v>0</v>
      </c>
      <c r="J28" s="13">
        <f aca="true" t="shared" si="19" ref="J28:J38">+$N89*J$24</f>
        <v>0</v>
      </c>
      <c r="K28" s="13">
        <f aca="true" t="shared" si="20" ref="K28:K38">ROUND((I28+J28)/1000,0)*1000</f>
        <v>0</v>
      </c>
      <c r="L28" s="30">
        <f t="shared" si="12"/>
        <v>0</v>
      </c>
      <c r="M28" s="29" t="str">
        <f t="shared" si="13"/>
        <v> </v>
      </c>
      <c r="N28" s="13"/>
      <c r="O28" s="13"/>
      <c r="P28" s="14"/>
    </row>
    <row r="29" spans="2:16" ht="12.75">
      <c r="B29" s="186">
        <v>3</v>
      </c>
      <c r="C29" s="31">
        <f t="shared" si="10"/>
        <v>0</v>
      </c>
      <c r="D29" s="13">
        <f t="shared" si="14"/>
        <v>0</v>
      </c>
      <c r="E29" s="13">
        <f t="shared" si="15"/>
        <v>0</v>
      </c>
      <c r="F29" s="13">
        <f t="shared" si="11"/>
        <v>0</v>
      </c>
      <c r="G29" s="13">
        <f t="shared" si="16"/>
        <v>0</v>
      </c>
      <c r="H29" s="13">
        <f t="shared" si="17"/>
        <v>0</v>
      </c>
      <c r="I29" s="13">
        <f t="shared" si="18"/>
        <v>0</v>
      </c>
      <c r="J29" s="13">
        <f t="shared" si="19"/>
        <v>0</v>
      </c>
      <c r="K29" s="13">
        <f t="shared" si="20"/>
        <v>0</v>
      </c>
      <c r="L29" s="30">
        <f t="shared" si="12"/>
        <v>0</v>
      </c>
      <c r="M29" s="29" t="str">
        <f t="shared" si="13"/>
        <v> </v>
      </c>
      <c r="N29" s="13"/>
      <c r="O29" s="13"/>
      <c r="P29" s="14"/>
    </row>
    <row r="30" spans="2:16" ht="12.75">
      <c r="B30" s="186">
        <v>4</v>
      </c>
      <c r="C30" s="31">
        <f t="shared" si="10"/>
        <v>0</v>
      </c>
      <c r="D30" s="13">
        <f t="shared" si="14"/>
        <v>0</v>
      </c>
      <c r="E30" s="13">
        <f t="shared" si="15"/>
        <v>0</v>
      </c>
      <c r="F30" s="13">
        <f t="shared" si="11"/>
        <v>0</v>
      </c>
      <c r="G30" s="13">
        <f t="shared" si="16"/>
        <v>0</v>
      </c>
      <c r="H30" s="13">
        <f t="shared" si="17"/>
        <v>0</v>
      </c>
      <c r="I30" s="13">
        <f t="shared" si="18"/>
        <v>0</v>
      </c>
      <c r="J30" s="13">
        <f t="shared" si="19"/>
        <v>0</v>
      </c>
      <c r="K30" s="13">
        <f t="shared" si="20"/>
        <v>0</v>
      </c>
      <c r="L30" s="30">
        <f t="shared" si="12"/>
        <v>0</v>
      </c>
      <c r="M30" s="29" t="str">
        <f t="shared" si="13"/>
        <v> </v>
      </c>
      <c r="N30" s="13"/>
      <c r="O30" s="13"/>
      <c r="P30" s="14"/>
    </row>
    <row r="31" spans="2:16" ht="12.75">
      <c r="B31" s="186">
        <v>5</v>
      </c>
      <c r="C31" s="31">
        <f t="shared" si="10"/>
        <v>0</v>
      </c>
      <c r="D31" s="13">
        <f t="shared" si="14"/>
        <v>0</v>
      </c>
      <c r="E31" s="13">
        <f t="shared" si="15"/>
        <v>0</v>
      </c>
      <c r="F31" s="13">
        <f t="shared" si="11"/>
        <v>0</v>
      </c>
      <c r="G31" s="13">
        <f t="shared" si="16"/>
        <v>0</v>
      </c>
      <c r="H31" s="13">
        <f t="shared" si="17"/>
        <v>0</v>
      </c>
      <c r="I31" s="13">
        <f t="shared" si="18"/>
        <v>0</v>
      </c>
      <c r="J31" s="13">
        <f t="shared" si="19"/>
        <v>0</v>
      </c>
      <c r="K31" s="13">
        <f t="shared" si="20"/>
        <v>0</v>
      </c>
      <c r="L31" s="30">
        <f t="shared" si="12"/>
        <v>0</v>
      </c>
      <c r="M31" s="29" t="str">
        <f t="shared" si="13"/>
        <v> </v>
      </c>
      <c r="N31" s="13"/>
      <c r="O31" s="13"/>
      <c r="P31" s="14"/>
    </row>
    <row r="32" spans="2:16" ht="12.75">
      <c r="B32" s="186">
        <v>6</v>
      </c>
      <c r="C32" s="31">
        <f t="shared" si="10"/>
        <v>0</v>
      </c>
      <c r="D32" s="13">
        <f t="shared" si="14"/>
        <v>0</v>
      </c>
      <c r="E32" s="13">
        <f t="shared" si="15"/>
        <v>0</v>
      </c>
      <c r="F32" s="13">
        <f t="shared" si="11"/>
        <v>0</v>
      </c>
      <c r="G32" s="13">
        <f t="shared" si="16"/>
        <v>0</v>
      </c>
      <c r="H32" s="13">
        <f t="shared" si="17"/>
        <v>0</v>
      </c>
      <c r="I32" s="13">
        <f t="shared" si="18"/>
        <v>0</v>
      </c>
      <c r="J32" s="13">
        <f t="shared" si="19"/>
        <v>0</v>
      </c>
      <c r="K32" s="13">
        <f t="shared" si="20"/>
        <v>0</v>
      </c>
      <c r="L32" s="30">
        <f t="shared" si="12"/>
        <v>0</v>
      </c>
      <c r="M32" s="29" t="str">
        <f t="shared" si="13"/>
        <v> </v>
      </c>
      <c r="N32" s="13"/>
      <c r="O32" s="13"/>
      <c r="P32" s="14"/>
    </row>
    <row r="33" spans="2:16" ht="12.75">
      <c r="B33" s="186">
        <v>7</v>
      </c>
      <c r="C33" s="31">
        <f t="shared" si="10"/>
        <v>0</v>
      </c>
      <c r="D33" s="13">
        <f t="shared" si="14"/>
        <v>0</v>
      </c>
      <c r="E33" s="13">
        <f t="shared" si="15"/>
        <v>0</v>
      </c>
      <c r="F33" s="13">
        <f t="shared" si="11"/>
        <v>0</v>
      </c>
      <c r="G33" s="13">
        <f t="shared" si="16"/>
        <v>0</v>
      </c>
      <c r="H33" s="13">
        <f t="shared" si="17"/>
        <v>0</v>
      </c>
      <c r="I33" s="13">
        <f t="shared" si="18"/>
        <v>0</v>
      </c>
      <c r="J33" s="13">
        <f t="shared" si="19"/>
        <v>0</v>
      </c>
      <c r="K33" s="13">
        <f t="shared" si="20"/>
        <v>0</v>
      </c>
      <c r="L33" s="30">
        <f t="shared" si="12"/>
        <v>0</v>
      </c>
      <c r="M33" s="29" t="str">
        <f t="shared" si="13"/>
        <v> </v>
      </c>
      <c r="N33" s="13"/>
      <c r="O33" s="13"/>
      <c r="P33" s="14"/>
    </row>
    <row r="34" spans="2:16" ht="12.75">
      <c r="B34" s="186">
        <v>8</v>
      </c>
      <c r="C34" s="31">
        <f t="shared" si="10"/>
        <v>0</v>
      </c>
      <c r="D34" s="13">
        <f t="shared" si="14"/>
        <v>0</v>
      </c>
      <c r="E34" s="13">
        <f t="shared" si="15"/>
        <v>0</v>
      </c>
      <c r="F34" s="13">
        <f t="shared" si="11"/>
        <v>0</v>
      </c>
      <c r="G34" s="13">
        <f t="shared" si="16"/>
        <v>0</v>
      </c>
      <c r="H34" s="13">
        <f t="shared" si="17"/>
        <v>0</v>
      </c>
      <c r="I34" s="13">
        <f t="shared" si="18"/>
        <v>0</v>
      </c>
      <c r="J34" s="13">
        <f t="shared" si="19"/>
        <v>0</v>
      </c>
      <c r="K34" s="13">
        <f t="shared" si="20"/>
        <v>0</v>
      </c>
      <c r="L34" s="30">
        <f t="shared" si="12"/>
        <v>0</v>
      </c>
      <c r="M34" s="29" t="str">
        <f t="shared" si="13"/>
        <v> </v>
      </c>
      <c r="N34" s="13"/>
      <c r="O34" s="13"/>
      <c r="P34" s="14"/>
    </row>
    <row r="35" spans="2:16" ht="12.75">
      <c r="B35" s="186">
        <v>9</v>
      </c>
      <c r="C35" s="31">
        <f t="shared" si="10"/>
        <v>0</v>
      </c>
      <c r="D35" s="13">
        <f t="shared" si="14"/>
        <v>0</v>
      </c>
      <c r="E35" s="13">
        <f t="shared" si="15"/>
        <v>0</v>
      </c>
      <c r="F35" s="13">
        <f t="shared" si="11"/>
        <v>0</v>
      </c>
      <c r="G35" s="13">
        <f t="shared" si="16"/>
        <v>0</v>
      </c>
      <c r="H35" s="13">
        <f t="shared" si="17"/>
        <v>0</v>
      </c>
      <c r="I35" s="13">
        <f t="shared" si="18"/>
        <v>0</v>
      </c>
      <c r="J35" s="13">
        <f t="shared" si="19"/>
        <v>0</v>
      </c>
      <c r="K35" s="13">
        <f t="shared" si="20"/>
        <v>0</v>
      </c>
      <c r="L35" s="30">
        <f t="shared" si="12"/>
        <v>0</v>
      </c>
      <c r="M35" s="29" t="str">
        <f t="shared" si="13"/>
        <v> </v>
      </c>
      <c r="N35" s="13"/>
      <c r="O35" s="13"/>
      <c r="P35" s="14"/>
    </row>
    <row r="36" spans="2:16" ht="12.75">
      <c r="B36" s="186">
        <v>10</v>
      </c>
      <c r="C36" s="31">
        <f t="shared" si="10"/>
        <v>0</v>
      </c>
      <c r="D36" s="13">
        <f t="shared" si="14"/>
        <v>0</v>
      </c>
      <c r="E36" s="13">
        <f t="shared" si="15"/>
        <v>0</v>
      </c>
      <c r="F36" s="13">
        <f t="shared" si="11"/>
        <v>0</v>
      </c>
      <c r="G36" s="13">
        <f t="shared" si="16"/>
        <v>0</v>
      </c>
      <c r="H36" s="13">
        <f t="shared" si="17"/>
        <v>0</v>
      </c>
      <c r="I36" s="13">
        <f t="shared" si="18"/>
        <v>0</v>
      </c>
      <c r="J36" s="13">
        <f t="shared" si="19"/>
        <v>0</v>
      </c>
      <c r="K36" s="13">
        <f t="shared" si="20"/>
        <v>0</v>
      </c>
      <c r="L36" s="30">
        <f t="shared" si="12"/>
        <v>0</v>
      </c>
      <c r="M36" s="29" t="str">
        <f t="shared" si="13"/>
        <v> </v>
      </c>
      <c r="N36" s="13"/>
      <c r="O36" s="13"/>
      <c r="P36" s="14"/>
    </row>
    <row r="37" spans="2:16" ht="12.75">
      <c r="B37" s="186">
        <v>11</v>
      </c>
      <c r="C37" s="31">
        <f t="shared" si="10"/>
        <v>0</v>
      </c>
      <c r="D37" s="13">
        <f t="shared" si="14"/>
        <v>0</v>
      </c>
      <c r="E37" s="13">
        <f t="shared" si="15"/>
        <v>0</v>
      </c>
      <c r="F37" s="13">
        <f t="shared" si="11"/>
        <v>0</v>
      </c>
      <c r="G37" s="13">
        <f t="shared" si="16"/>
        <v>0</v>
      </c>
      <c r="H37" s="13">
        <f t="shared" si="17"/>
        <v>0</v>
      </c>
      <c r="I37" s="13">
        <f t="shared" si="18"/>
        <v>0</v>
      </c>
      <c r="J37" s="13">
        <f t="shared" si="19"/>
        <v>0</v>
      </c>
      <c r="K37" s="13">
        <f t="shared" si="20"/>
        <v>0</v>
      </c>
      <c r="L37" s="30">
        <f t="shared" si="12"/>
        <v>0</v>
      </c>
      <c r="M37" s="29" t="str">
        <f t="shared" si="13"/>
        <v> </v>
      </c>
      <c r="N37" s="13"/>
      <c r="O37" s="13"/>
      <c r="P37" s="14"/>
    </row>
    <row r="38" spans="2:16" ht="12.75">
      <c r="B38" s="186">
        <v>12</v>
      </c>
      <c r="C38" s="31">
        <f t="shared" si="10"/>
        <v>0</v>
      </c>
      <c r="D38" s="13">
        <f t="shared" si="14"/>
        <v>0</v>
      </c>
      <c r="E38" s="13">
        <f t="shared" si="15"/>
        <v>0</v>
      </c>
      <c r="F38" s="13">
        <f t="shared" si="11"/>
        <v>0</v>
      </c>
      <c r="G38" s="13">
        <f t="shared" si="16"/>
        <v>0</v>
      </c>
      <c r="H38" s="13">
        <f t="shared" si="17"/>
        <v>0</v>
      </c>
      <c r="I38" s="13">
        <f t="shared" si="18"/>
        <v>0</v>
      </c>
      <c r="J38" s="13">
        <f t="shared" si="19"/>
        <v>0</v>
      </c>
      <c r="K38" s="13">
        <f t="shared" si="20"/>
        <v>0</v>
      </c>
      <c r="L38" s="30">
        <f t="shared" si="12"/>
        <v>0</v>
      </c>
      <c r="M38" s="29" t="str">
        <f t="shared" si="13"/>
        <v> </v>
      </c>
      <c r="N38" s="13"/>
      <c r="O38" s="13"/>
      <c r="P38" s="14"/>
    </row>
    <row r="39" spans="2:16" ht="13.5" thickBot="1">
      <c r="B39" s="5" t="s">
        <v>176</v>
      </c>
      <c r="C39" s="207"/>
      <c r="D39" s="107"/>
      <c r="E39" s="107">
        <f>IF(E40-(C40+D40)&lt;500,E40-(C40+D40),E40-(C40+D40))</f>
        <v>0</v>
      </c>
      <c r="F39" s="13"/>
      <c r="G39" s="13"/>
      <c r="H39" s="107">
        <f>IF(H40-(F40+G40)&lt;500,H40-(F40+G40),H40-(F40+G40))</f>
        <v>0</v>
      </c>
      <c r="I39" s="13"/>
      <c r="J39" s="13"/>
      <c r="K39" s="107">
        <f>IF(K40-(I40+J40)&lt;500,K40-(I40+J40),K40-(I40+J40))</f>
        <v>0</v>
      </c>
      <c r="L39" s="30">
        <f t="shared" si="12"/>
        <v>0</v>
      </c>
      <c r="M39" s="158"/>
      <c r="N39" s="13"/>
      <c r="O39" s="13"/>
      <c r="P39" s="4"/>
    </row>
    <row r="40" spans="2:16" ht="13.5" thickBot="1">
      <c r="B40" s="177" t="s">
        <v>177</v>
      </c>
      <c r="C40" s="41">
        <f>SUM(C27:C39)</f>
        <v>0</v>
      </c>
      <c r="D40" s="32">
        <f>SUM(D27:D38)</f>
        <v>0</v>
      </c>
      <c r="E40" s="32">
        <f>SUM(E27:E38)</f>
        <v>0</v>
      </c>
      <c r="F40" s="32">
        <f>SUM(F27:F39)</f>
        <v>0</v>
      </c>
      <c r="G40" s="32">
        <f>SUM(G27:G38)</f>
        <v>0</v>
      </c>
      <c r="H40" s="32">
        <f>SUM(H27:H38)</f>
        <v>0</v>
      </c>
      <c r="I40" s="32">
        <f>SUM(I27:I39)</f>
        <v>0</v>
      </c>
      <c r="J40" s="32">
        <f>SUM(J27:J38)</f>
        <v>0</v>
      </c>
      <c r="K40" s="32">
        <f>SUM(K27:K38)</f>
        <v>0</v>
      </c>
      <c r="L40" s="32">
        <f>SUM(L27:L39)</f>
        <v>0</v>
      </c>
      <c r="M40" s="32">
        <f>SUM(M27:M38)</f>
        <v>0</v>
      </c>
      <c r="N40" s="32">
        <f>SUM(N27:N38)</f>
        <v>0</v>
      </c>
      <c r="O40" s="32">
        <f>SUM(O26:O38)</f>
        <v>0</v>
      </c>
      <c r="P40" s="33">
        <f>L40-N40+M26-N26</f>
        <v>0</v>
      </c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4" ht="13.5" thickBot="1">
      <c r="A43" s="17" t="s">
        <v>143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73"/>
      <c r="N43" s="173">
        <v>4637</v>
      </c>
    </row>
    <row r="44" spans="1:17" ht="12.75">
      <c r="A44" s="18" t="s">
        <v>25</v>
      </c>
      <c r="B44" s="19" t="s">
        <v>49</v>
      </c>
      <c r="C44" s="21">
        <v>0.24</v>
      </c>
      <c r="D44" s="183">
        <v>0.095</v>
      </c>
      <c r="E44" s="44">
        <v>0.015</v>
      </c>
      <c r="F44" s="183" t="s">
        <v>34</v>
      </c>
      <c r="G44" s="22" t="s">
        <v>28</v>
      </c>
      <c r="H44" s="415" t="s">
        <v>224</v>
      </c>
      <c r="I44" s="417"/>
      <c r="J44" s="416"/>
      <c r="K44" s="159" t="s">
        <v>34</v>
      </c>
      <c r="L44" s="20" t="s">
        <v>105</v>
      </c>
      <c r="M44" s="35" t="s">
        <v>29</v>
      </c>
      <c r="N44" s="19" t="s">
        <v>41</v>
      </c>
      <c r="O44" s="23" t="s">
        <v>31</v>
      </c>
      <c r="P44" s="3"/>
      <c r="Q44" s="3"/>
    </row>
    <row r="45" spans="1:17" ht="13.5" thickBot="1">
      <c r="A45" s="24"/>
      <c r="B45" s="25"/>
      <c r="C45" s="27"/>
      <c r="D45" s="27"/>
      <c r="E45" s="25"/>
      <c r="F45" s="27"/>
      <c r="G45" s="26"/>
      <c r="H45" s="160" t="s">
        <v>425</v>
      </c>
      <c r="I45" s="38">
        <v>0.24</v>
      </c>
      <c r="J45" s="26" t="s">
        <v>28</v>
      </c>
      <c r="K45" s="27"/>
      <c r="L45" s="26" t="s">
        <v>106</v>
      </c>
      <c r="M45" s="25"/>
      <c r="N45" s="25"/>
      <c r="O45" s="28"/>
      <c r="P45" s="3"/>
      <c r="Q45" s="3"/>
    </row>
    <row r="46" spans="1:17" ht="13.5" thickTop="1">
      <c r="A46" s="5"/>
      <c r="B46" s="13"/>
      <c r="C46" s="30"/>
      <c r="D46" s="30"/>
      <c r="E46" s="13"/>
      <c r="F46" s="30"/>
      <c r="G46" s="29"/>
      <c r="H46" s="13"/>
      <c r="I46" s="13"/>
      <c r="J46" s="13"/>
      <c r="K46" s="30"/>
      <c r="L46" s="29"/>
      <c r="M46" s="13"/>
      <c r="N46" s="13"/>
      <c r="O46" s="14"/>
      <c r="P46" s="3"/>
      <c r="Q46" s="3"/>
    </row>
    <row r="47" spans="1:17" ht="12.75">
      <c r="A47" s="5" t="s">
        <v>43</v>
      </c>
      <c r="B47" s="13"/>
      <c r="C47" s="30"/>
      <c r="D47" s="30"/>
      <c r="E47" s="13"/>
      <c r="F47" s="30"/>
      <c r="G47" s="29"/>
      <c r="H47" s="13"/>
      <c r="I47" s="13"/>
      <c r="J47" s="13"/>
      <c r="K47" s="30"/>
      <c r="L47" s="29">
        <v>0</v>
      </c>
      <c r="M47" s="13">
        <v>0</v>
      </c>
      <c r="N47" s="13"/>
      <c r="O47" s="14"/>
      <c r="P47" s="3"/>
      <c r="Q47" s="3"/>
    </row>
    <row r="48" spans="1:17" ht="12.75">
      <c r="A48" s="186">
        <v>1</v>
      </c>
      <c r="B48" s="13">
        <f aca="true" t="shared" si="21" ref="B48:B59">+B8</f>
        <v>0</v>
      </c>
      <c r="C48" s="30">
        <f>IF(B48=" "," ",ROUND($B48*$C$44,0))</f>
        <v>0</v>
      </c>
      <c r="D48" s="30">
        <f aca="true" t="shared" si="22" ref="D48:D59">IF(B48=" "," ",ROUND(B48*$D$44,0))</f>
        <v>0</v>
      </c>
      <c r="E48" s="13"/>
      <c r="F48" s="30">
        <f>+C48+D48+E48-I48</f>
        <v>0</v>
      </c>
      <c r="G48" s="29">
        <f aca="true" t="shared" si="23" ref="G48:G59">IF(D48=" ",0,ROUND((C48+D48+E48)/1000,0)*1000)</f>
        <v>0</v>
      </c>
      <c r="H48" s="13">
        <f aca="true" t="shared" si="24" ref="H48:H59">D168</f>
        <v>0</v>
      </c>
      <c r="I48" s="13">
        <f>+N88*$I$45</f>
        <v>0</v>
      </c>
      <c r="J48" s="29">
        <f>IF((H48+I48)=" ",0,ROUND((H48+I48)/1000,0)*1000)</f>
        <v>0</v>
      </c>
      <c r="K48" s="30">
        <f>+F48+H48</f>
        <v>0</v>
      </c>
      <c r="L48" s="29">
        <f aca="true" t="shared" si="25" ref="L48:L59">G48+J48</f>
        <v>0</v>
      </c>
      <c r="M48" s="13"/>
      <c r="N48" s="13"/>
      <c r="O48" s="14"/>
      <c r="P48" s="3"/>
      <c r="Q48" s="3"/>
    </row>
    <row r="49" spans="1:17" ht="12.75">
      <c r="A49" s="186">
        <v>2</v>
      </c>
      <c r="B49" s="13">
        <f t="shared" si="21"/>
        <v>0</v>
      </c>
      <c r="C49" s="30">
        <f aca="true" t="shared" si="26" ref="C49:C59">IF(B49=" "," ",ROUND($B49*$C$44,0))</f>
        <v>0</v>
      </c>
      <c r="D49" s="30">
        <f t="shared" si="22"/>
        <v>0</v>
      </c>
      <c r="E49" s="13"/>
      <c r="F49" s="30">
        <f aca="true" t="shared" si="27" ref="F49:F59">+C49+D49+E49-I49</f>
        <v>0</v>
      </c>
      <c r="G49" s="29">
        <f t="shared" si="23"/>
        <v>0</v>
      </c>
      <c r="H49" s="13">
        <f t="shared" si="24"/>
        <v>0</v>
      </c>
      <c r="I49" s="13">
        <f aca="true" t="shared" si="28" ref="I49:I59">+N89*$I$45</f>
        <v>0</v>
      </c>
      <c r="J49" s="29">
        <f aca="true" t="shared" si="29" ref="J49:J59">IF((H49+I49)=" ",0,ROUND((H49+I49)/1000,0)*1000)</f>
        <v>0</v>
      </c>
      <c r="K49" s="30">
        <f aca="true" t="shared" si="30" ref="K49:K60">+F49+H49</f>
        <v>0</v>
      </c>
      <c r="L49" s="29">
        <f t="shared" si="25"/>
        <v>0</v>
      </c>
      <c r="M49" s="13"/>
      <c r="N49" s="13"/>
      <c r="O49" s="14"/>
      <c r="P49" s="3"/>
      <c r="Q49" s="3"/>
    </row>
    <row r="50" spans="1:17" ht="12.75">
      <c r="A50" s="186">
        <v>3</v>
      </c>
      <c r="B50" s="13">
        <f t="shared" si="21"/>
        <v>0</v>
      </c>
      <c r="C50" s="30">
        <f t="shared" si="26"/>
        <v>0</v>
      </c>
      <c r="D50" s="30">
        <f t="shared" si="22"/>
        <v>0</v>
      </c>
      <c r="E50" s="13"/>
      <c r="F50" s="30">
        <f t="shared" si="27"/>
        <v>0</v>
      </c>
      <c r="G50" s="29">
        <f t="shared" si="23"/>
        <v>0</v>
      </c>
      <c r="H50" s="13">
        <f t="shared" si="24"/>
        <v>0</v>
      </c>
      <c r="I50" s="13">
        <f t="shared" si="28"/>
        <v>0</v>
      </c>
      <c r="J50" s="29">
        <f t="shared" si="29"/>
        <v>0</v>
      </c>
      <c r="K50" s="30">
        <f t="shared" si="30"/>
        <v>0</v>
      </c>
      <c r="L50" s="29">
        <f t="shared" si="25"/>
        <v>0</v>
      </c>
      <c r="M50" s="13"/>
      <c r="N50" s="13"/>
      <c r="O50" s="14"/>
      <c r="P50" s="3"/>
      <c r="Q50" s="3"/>
    </row>
    <row r="51" spans="1:17" ht="12.75">
      <c r="A51" s="186">
        <v>4</v>
      </c>
      <c r="B51" s="13">
        <f t="shared" si="21"/>
        <v>0</v>
      </c>
      <c r="C51" s="30">
        <f t="shared" si="26"/>
        <v>0</v>
      </c>
      <c r="D51" s="30">
        <f t="shared" si="22"/>
        <v>0</v>
      </c>
      <c r="E51" s="13"/>
      <c r="F51" s="30">
        <f t="shared" si="27"/>
        <v>0</v>
      </c>
      <c r="G51" s="29">
        <f t="shared" si="23"/>
        <v>0</v>
      </c>
      <c r="H51" s="13">
        <f t="shared" si="24"/>
        <v>0</v>
      </c>
      <c r="I51" s="13">
        <f t="shared" si="28"/>
        <v>0</v>
      </c>
      <c r="J51" s="29">
        <f t="shared" si="29"/>
        <v>0</v>
      </c>
      <c r="K51" s="30">
        <f t="shared" si="30"/>
        <v>0</v>
      </c>
      <c r="L51" s="29">
        <f t="shared" si="25"/>
        <v>0</v>
      </c>
      <c r="M51" s="13"/>
      <c r="N51" s="13"/>
      <c r="O51" s="14"/>
      <c r="P51" s="3"/>
      <c r="Q51" s="3"/>
    </row>
    <row r="52" spans="1:17" ht="12.75">
      <c r="A52" s="186">
        <v>5</v>
      </c>
      <c r="B52" s="13">
        <f t="shared" si="21"/>
        <v>0</v>
      </c>
      <c r="C52" s="30">
        <f t="shared" si="26"/>
        <v>0</v>
      </c>
      <c r="D52" s="30">
        <f t="shared" si="22"/>
        <v>0</v>
      </c>
      <c r="E52" s="13"/>
      <c r="F52" s="30">
        <f t="shared" si="27"/>
        <v>0</v>
      </c>
      <c r="G52" s="29">
        <f t="shared" si="23"/>
        <v>0</v>
      </c>
      <c r="H52" s="13">
        <f t="shared" si="24"/>
        <v>0</v>
      </c>
      <c r="I52" s="13">
        <f t="shared" si="28"/>
        <v>0</v>
      </c>
      <c r="J52" s="29">
        <f t="shared" si="29"/>
        <v>0</v>
      </c>
      <c r="K52" s="30">
        <f t="shared" si="30"/>
        <v>0</v>
      </c>
      <c r="L52" s="29">
        <f t="shared" si="25"/>
        <v>0</v>
      </c>
      <c r="M52" s="13"/>
      <c r="N52" s="13"/>
      <c r="O52" s="14"/>
      <c r="P52" s="3"/>
      <c r="Q52" s="3"/>
    </row>
    <row r="53" spans="1:17" ht="12.75">
      <c r="A53" s="186">
        <v>6</v>
      </c>
      <c r="B53" s="13">
        <f t="shared" si="21"/>
        <v>0</v>
      </c>
      <c r="C53" s="30">
        <f t="shared" si="26"/>
        <v>0</v>
      </c>
      <c r="D53" s="30">
        <f t="shared" si="22"/>
        <v>0</v>
      </c>
      <c r="E53" s="13"/>
      <c r="F53" s="30">
        <f t="shared" si="27"/>
        <v>0</v>
      </c>
      <c r="G53" s="29">
        <f t="shared" si="23"/>
        <v>0</v>
      </c>
      <c r="H53" s="13">
        <f t="shared" si="24"/>
        <v>0</v>
      </c>
      <c r="I53" s="13">
        <f t="shared" si="28"/>
        <v>0</v>
      </c>
      <c r="J53" s="29">
        <f t="shared" si="29"/>
        <v>0</v>
      </c>
      <c r="K53" s="30">
        <f t="shared" si="30"/>
        <v>0</v>
      </c>
      <c r="L53" s="29">
        <f t="shared" si="25"/>
        <v>0</v>
      </c>
      <c r="M53" s="13"/>
      <c r="N53" s="13"/>
      <c r="O53" s="14"/>
      <c r="P53" s="3"/>
      <c r="Q53" s="3"/>
    </row>
    <row r="54" spans="1:17" ht="12.75">
      <c r="A54" s="186">
        <v>7</v>
      </c>
      <c r="B54" s="13">
        <f t="shared" si="21"/>
        <v>0</v>
      </c>
      <c r="C54" s="30">
        <f t="shared" si="26"/>
        <v>0</v>
      </c>
      <c r="D54" s="30">
        <f t="shared" si="22"/>
        <v>0</v>
      </c>
      <c r="E54" s="13"/>
      <c r="F54" s="30">
        <f t="shared" si="27"/>
        <v>0</v>
      </c>
      <c r="G54" s="29">
        <f t="shared" si="23"/>
        <v>0</v>
      </c>
      <c r="H54" s="13">
        <f t="shared" si="24"/>
        <v>0</v>
      </c>
      <c r="I54" s="13">
        <f t="shared" si="28"/>
        <v>0</v>
      </c>
      <c r="J54" s="29">
        <f t="shared" si="29"/>
        <v>0</v>
      </c>
      <c r="K54" s="30">
        <f t="shared" si="30"/>
        <v>0</v>
      </c>
      <c r="L54" s="29">
        <f t="shared" si="25"/>
        <v>0</v>
      </c>
      <c r="M54" s="13"/>
      <c r="N54" s="13"/>
      <c r="O54" s="14"/>
      <c r="P54" s="3"/>
      <c r="Q54" s="3"/>
    </row>
    <row r="55" spans="1:17" ht="12.75">
      <c r="A55" s="186">
        <v>8</v>
      </c>
      <c r="B55" s="13">
        <f t="shared" si="21"/>
        <v>0</v>
      </c>
      <c r="C55" s="30">
        <f t="shared" si="26"/>
        <v>0</v>
      </c>
      <c r="D55" s="30">
        <f t="shared" si="22"/>
        <v>0</v>
      </c>
      <c r="E55" s="13"/>
      <c r="F55" s="30">
        <f t="shared" si="27"/>
        <v>0</v>
      </c>
      <c r="G55" s="29">
        <f t="shared" si="23"/>
        <v>0</v>
      </c>
      <c r="H55" s="13">
        <f t="shared" si="24"/>
        <v>0</v>
      </c>
      <c r="I55" s="13">
        <f t="shared" si="28"/>
        <v>0</v>
      </c>
      <c r="J55" s="29">
        <f t="shared" si="29"/>
        <v>0</v>
      </c>
      <c r="K55" s="30">
        <f t="shared" si="30"/>
        <v>0</v>
      </c>
      <c r="L55" s="29">
        <f t="shared" si="25"/>
        <v>0</v>
      </c>
      <c r="M55" s="13"/>
      <c r="N55" s="13"/>
      <c r="O55" s="14"/>
      <c r="P55" s="3"/>
      <c r="Q55" s="3"/>
    </row>
    <row r="56" spans="1:17" ht="12.75">
      <c r="A56" s="186">
        <v>9</v>
      </c>
      <c r="B56" s="13">
        <f t="shared" si="21"/>
        <v>0</v>
      </c>
      <c r="C56" s="30">
        <f t="shared" si="26"/>
        <v>0</v>
      </c>
      <c r="D56" s="30">
        <f t="shared" si="22"/>
        <v>0</v>
      </c>
      <c r="E56" s="13"/>
      <c r="F56" s="30">
        <f t="shared" si="27"/>
        <v>0</v>
      </c>
      <c r="G56" s="29">
        <f t="shared" si="23"/>
        <v>0</v>
      </c>
      <c r="H56" s="13">
        <f t="shared" si="24"/>
        <v>0</v>
      </c>
      <c r="I56" s="13">
        <f t="shared" si="28"/>
        <v>0</v>
      </c>
      <c r="J56" s="29">
        <f t="shared" si="29"/>
        <v>0</v>
      </c>
      <c r="K56" s="30">
        <f t="shared" si="30"/>
        <v>0</v>
      </c>
      <c r="L56" s="29">
        <f t="shared" si="25"/>
        <v>0</v>
      </c>
      <c r="M56" s="13"/>
      <c r="N56" s="13"/>
      <c r="O56" s="14"/>
      <c r="P56" s="3"/>
      <c r="Q56" s="3"/>
    </row>
    <row r="57" spans="1:17" ht="12.75">
      <c r="A57" s="186">
        <v>10</v>
      </c>
      <c r="B57" s="13">
        <f t="shared" si="21"/>
        <v>0</v>
      </c>
      <c r="C57" s="30">
        <f t="shared" si="26"/>
        <v>0</v>
      </c>
      <c r="D57" s="30">
        <f t="shared" si="22"/>
        <v>0</v>
      </c>
      <c r="E57" s="13"/>
      <c r="F57" s="30">
        <f t="shared" si="27"/>
        <v>0</v>
      </c>
      <c r="G57" s="29">
        <f t="shared" si="23"/>
        <v>0</v>
      </c>
      <c r="H57" s="13">
        <f t="shared" si="24"/>
        <v>0</v>
      </c>
      <c r="I57" s="13">
        <f t="shared" si="28"/>
        <v>0</v>
      </c>
      <c r="J57" s="29">
        <f t="shared" si="29"/>
        <v>0</v>
      </c>
      <c r="K57" s="30">
        <f t="shared" si="30"/>
        <v>0</v>
      </c>
      <c r="L57" s="29">
        <f t="shared" si="25"/>
        <v>0</v>
      </c>
      <c r="M57" s="13"/>
      <c r="N57" s="13"/>
      <c r="O57" s="14"/>
      <c r="P57" s="3"/>
      <c r="Q57" s="3"/>
    </row>
    <row r="58" spans="1:17" ht="12.75">
      <c r="A58" s="186">
        <v>11</v>
      </c>
      <c r="B58" s="13">
        <f t="shared" si="21"/>
        <v>0</v>
      </c>
      <c r="C58" s="30">
        <f t="shared" si="26"/>
        <v>0</v>
      </c>
      <c r="D58" s="30">
        <f t="shared" si="22"/>
        <v>0</v>
      </c>
      <c r="E58" s="13"/>
      <c r="F58" s="30">
        <f t="shared" si="27"/>
        <v>0</v>
      </c>
      <c r="G58" s="29">
        <f t="shared" si="23"/>
        <v>0</v>
      </c>
      <c r="H58" s="13">
        <f t="shared" si="24"/>
        <v>0</v>
      </c>
      <c r="I58" s="13">
        <f t="shared" si="28"/>
        <v>0</v>
      </c>
      <c r="J58" s="29">
        <f t="shared" si="29"/>
        <v>0</v>
      </c>
      <c r="K58" s="30">
        <f t="shared" si="30"/>
        <v>0</v>
      </c>
      <c r="L58" s="29">
        <f t="shared" si="25"/>
        <v>0</v>
      </c>
      <c r="M58" s="13"/>
      <c r="N58" s="13"/>
      <c r="O58" s="14"/>
      <c r="P58" s="3"/>
      <c r="Q58" s="3"/>
    </row>
    <row r="59" spans="1:17" ht="12.75">
      <c r="A59" s="186">
        <v>12</v>
      </c>
      <c r="B59" s="13">
        <f t="shared" si="21"/>
        <v>0</v>
      </c>
      <c r="C59" s="30">
        <f t="shared" si="26"/>
        <v>0</v>
      </c>
      <c r="D59" s="30">
        <f t="shared" si="22"/>
        <v>0</v>
      </c>
      <c r="E59" s="13"/>
      <c r="F59" s="30">
        <f t="shared" si="27"/>
        <v>0</v>
      </c>
      <c r="G59" s="29">
        <f t="shared" si="23"/>
        <v>0</v>
      </c>
      <c r="H59" s="13">
        <f t="shared" si="24"/>
        <v>0</v>
      </c>
      <c r="I59" s="13">
        <f t="shared" si="28"/>
        <v>0</v>
      </c>
      <c r="J59" s="29">
        <f t="shared" si="29"/>
        <v>0</v>
      </c>
      <c r="K59" s="30">
        <f t="shared" si="30"/>
        <v>0</v>
      </c>
      <c r="L59" s="29">
        <f t="shared" si="25"/>
        <v>0</v>
      </c>
      <c r="M59" s="13"/>
      <c r="N59" s="13"/>
      <c r="O59" s="14"/>
      <c r="P59" s="3"/>
      <c r="Q59" s="3"/>
    </row>
    <row r="60" spans="1:17" ht="13.5" thickBot="1">
      <c r="A60" s="5" t="s">
        <v>176</v>
      </c>
      <c r="B60" s="13"/>
      <c r="C60" s="30"/>
      <c r="D60" s="30"/>
      <c r="E60" s="13"/>
      <c r="F60" s="157"/>
      <c r="G60" s="158">
        <f>IF(G61-(C61+D61+E61)&lt;500,G61-(C61+D61+E61),G61-(C61+D61+E61))</f>
        <v>0</v>
      </c>
      <c r="H60" s="13"/>
      <c r="I60" s="13"/>
      <c r="J60" s="29">
        <f>IF(J61-(H61+I61)&lt;500,J61-(H61+I61),J61-(H61+I61))</f>
        <v>0</v>
      </c>
      <c r="K60" s="30">
        <f t="shared" si="30"/>
        <v>0</v>
      </c>
      <c r="L60" s="29"/>
      <c r="M60" s="13"/>
      <c r="N60" s="13"/>
      <c r="O60" s="4"/>
      <c r="P60" s="3"/>
      <c r="Q60" s="3"/>
    </row>
    <row r="61" spans="1:17" ht="13.5" thickBot="1">
      <c r="A61" s="177" t="s">
        <v>177</v>
      </c>
      <c r="B61" s="32">
        <f>SUM(B47:B59)</f>
        <v>0</v>
      </c>
      <c r="C61" s="32">
        <f>SUM(C47:C60)</f>
        <v>0</v>
      </c>
      <c r="D61" s="32">
        <f>SUM(D47:D60)</f>
        <v>0</v>
      </c>
      <c r="E61" s="32">
        <f>SUM(E47:E60)</f>
        <v>0</v>
      </c>
      <c r="F61" s="32"/>
      <c r="G61" s="32">
        <f aca="true" t="shared" si="31" ref="G61:M61">SUM(G48:G59)</f>
        <v>0</v>
      </c>
      <c r="H61" s="32">
        <f>SUM(H48:H60)</f>
        <v>0</v>
      </c>
      <c r="I61" s="32">
        <f>SUM(I48:I60)</f>
        <v>0</v>
      </c>
      <c r="J61" s="32">
        <f t="shared" si="31"/>
        <v>0</v>
      </c>
      <c r="K61" s="32">
        <f>SUM(K48:K60)</f>
        <v>0</v>
      </c>
      <c r="L61" s="32">
        <f t="shared" si="31"/>
        <v>0</v>
      </c>
      <c r="M61" s="32">
        <f t="shared" si="31"/>
        <v>0</v>
      </c>
      <c r="N61" s="32">
        <f>SUM(N47:N59)</f>
        <v>0</v>
      </c>
      <c r="O61" s="33">
        <f>+K61-M61+L47-M47</f>
        <v>0</v>
      </c>
      <c r="P61" s="3"/>
      <c r="Q61" s="3"/>
    </row>
    <row r="62" spans="1:16" ht="12.75">
      <c r="A62" s="79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71"/>
      <c r="O62" s="3"/>
      <c r="P62" s="3"/>
    </row>
    <row r="63" spans="1:16" ht="13.5" thickBot="1">
      <c r="A63" s="17" t="s">
        <v>145</v>
      </c>
      <c r="B63" s="3"/>
      <c r="C63" s="3"/>
      <c r="D63" s="3"/>
      <c r="E63" s="3"/>
      <c r="F63" s="3"/>
      <c r="G63" s="3"/>
      <c r="H63" s="3"/>
      <c r="I63" s="7">
        <v>4634</v>
      </c>
      <c r="J63" s="3"/>
      <c r="K63" s="3"/>
      <c r="L63" s="13"/>
      <c r="M63" s="13"/>
      <c r="N63" s="171"/>
      <c r="O63" s="3"/>
      <c r="P63" s="3"/>
    </row>
    <row r="64" spans="1:17" ht="25.5">
      <c r="A64" s="18" t="s">
        <v>25</v>
      </c>
      <c r="B64" s="429" t="s">
        <v>385</v>
      </c>
      <c r="C64" s="430"/>
      <c r="D64" s="430"/>
      <c r="E64" s="430"/>
      <c r="F64" s="431"/>
      <c r="G64" s="457" t="s">
        <v>386</v>
      </c>
      <c r="H64" s="458"/>
      <c r="I64" s="35" t="s">
        <v>34</v>
      </c>
      <c r="J64" s="196" t="s">
        <v>57</v>
      </c>
      <c r="K64" s="19" t="s">
        <v>29</v>
      </c>
      <c r="L64" s="23" t="s">
        <v>31</v>
      </c>
      <c r="M64" s="13"/>
      <c r="N64" s="13"/>
      <c r="O64" s="171"/>
      <c r="P64" s="3"/>
      <c r="Q64" s="3"/>
    </row>
    <row r="65" spans="1:17" ht="13.5" thickBot="1">
      <c r="A65" s="24"/>
      <c r="B65" s="160">
        <v>0.14</v>
      </c>
      <c r="C65" s="38" t="s">
        <v>433</v>
      </c>
      <c r="D65" s="38">
        <v>0.27</v>
      </c>
      <c r="E65" s="38" t="s">
        <v>34</v>
      </c>
      <c r="F65" s="211" t="s">
        <v>28</v>
      </c>
      <c r="G65" s="160">
        <v>0.27</v>
      </c>
      <c r="H65" s="26" t="s">
        <v>28</v>
      </c>
      <c r="I65" s="25" t="s">
        <v>94</v>
      </c>
      <c r="J65" s="197"/>
      <c r="K65" s="25"/>
      <c r="L65" s="28"/>
      <c r="M65" s="13"/>
      <c r="N65" s="13"/>
      <c r="O65" s="171"/>
      <c r="P65" s="3"/>
      <c r="Q65" s="3"/>
    </row>
    <row r="66" spans="1:17" ht="13.5" thickTop="1">
      <c r="A66" s="5"/>
      <c r="B66" s="30"/>
      <c r="C66" s="13"/>
      <c r="D66" s="13"/>
      <c r="E66" s="13"/>
      <c r="F66" s="29"/>
      <c r="G66" s="30"/>
      <c r="H66" s="29"/>
      <c r="I66" s="13"/>
      <c r="J66" s="13"/>
      <c r="K66" s="13"/>
      <c r="L66" s="4"/>
      <c r="M66" s="13"/>
      <c r="N66" s="13"/>
      <c r="O66" s="171"/>
      <c r="P66" s="3"/>
      <c r="Q66" s="3"/>
    </row>
    <row r="67" spans="1:17" ht="12.75">
      <c r="A67" s="5" t="s">
        <v>43</v>
      </c>
      <c r="B67" s="30"/>
      <c r="C67" s="13"/>
      <c r="D67" s="13"/>
      <c r="E67" s="13"/>
      <c r="F67" s="29"/>
      <c r="G67" s="30"/>
      <c r="H67" s="29"/>
      <c r="I67" s="13"/>
      <c r="J67" s="13">
        <v>0</v>
      </c>
      <c r="K67" s="13">
        <v>0</v>
      </c>
      <c r="L67" s="14"/>
      <c r="M67" s="13"/>
      <c r="N67" s="13"/>
      <c r="O67" s="171"/>
      <c r="P67" s="3"/>
      <c r="Q67" s="3"/>
    </row>
    <row r="68" spans="1:17" ht="12.75">
      <c r="A68" s="186">
        <v>1</v>
      </c>
      <c r="B68" s="30"/>
      <c r="C68" s="13"/>
      <c r="D68" s="13">
        <f>+C68*$D$65</f>
        <v>0</v>
      </c>
      <c r="E68" s="13">
        <f aca="true" t="shared" si="32" ref="E68:E79">+B68+D68</f>
        <v>0</v>
      </c>
      <c r="F68" s="29">
        <f>IF(E68=" ",0,ROUND(E68/1000,0)*1000)</f>
        <v>0</v>
      </c>
      <c r="G68" s="30"/>
      <c r="H68" s="29">
        <f aca="true" t="shared" si="33" ref="H68:H79">IF(G68=" ",0,ROUND(G68/1000,0)*1000)</f>
        <v>0</v>
      </c>
      <c r="I68" s="13">
        <f aca="true" t="shared" si="34" ref="I68:I80">+B68+G68</f>
        <v>0</v>
      </c>
      <c r="J68" s="13">
        <f>+F68+H68</f>
        <v>0</v>
      </c>
      <c r="K68" s="13"/>
      <c r="L68" s="14"/>
      <c r="M68" s="13"/>
      <c r="N68" s="13"/>
      <c r="O68" s="171"/>
      <c r="P68" s="3"/>
      <c r="Q68" s="3"/>
    </row>
    <row r="69" spans="1:17" ht="12.75">
      <c r="A69" s="186">
        <v>2</v>
      </c>
      <c r="B69" s="30"/>
      <c r="C69" s="13"/>
      <c r="D69" s="13">
        <f aca="true" t="shared" si="35" ref="D69:D79">+C69*$D$65</f>
        <v>0</v>
      </c>
      <c r="E69" s="13">
        <f t="shared" si="32"/>
        <v>0</v>
      </c>
      <c r="F69" s="29">
        <f aca="true" t="shared" si="36" ref="F69:F79">IF(E69=" ",0,ROUND(E69/1000,0)*1000)</f>
        <v>0</v>
      </c>
      <c r="G69" s="30"/>
      <c r="H69" s="29">
        <f t="shared" si="33"/>
        <v>0</v>
      </c>
      <c r="I69" s="13">
        <f t="shared" si="34"/>
        <v>0</v>
      </c>
      <c r="J69" s="13">
        <f aca="true" t="shared" si="37" ref="J69:J79">+F69+H69</f>
        <v>0</v>
      </c>
      <c r="K69" s="13"/>
      <c r="L69" s="14"/>
      <c r="M69" s="13"/>
      <c r="N69" s="13"/>
      <c r="O69" s="171"/>
      <c r="P69" s="3"/>
      <c r="Q69" s="3"/>
    </row>
    <row r="70" spans="1:17" ht="12.75">
      <c r="A70" s="186">
        <v>3</v>
      </c>
      <c r="B70" s="30"/>
      <c r="C70" s="13"/>
      <c r="D70" s="13">
        <f t="shared" si="35"/>
        <v>0</v>
      </c>
      <c r="E70" s="13">
        <f t="shared" si="32"/>
        <v>0</v>
      </c>
      <c r="F70" s="29">
        <f t="shared" si="36"/>
        <v>0</v>
      </c>
      <c r="G70" s="30"/>
      <c r="H70" s="29">
        <f t="shared" si="33"/>
        <v>0</v>
      </c>
      <c r="I70" s="13">
        <f t="shared" si="34"/>
        <v>0</v>
      </c>
      <c r="J70" s="13">
        <f t="shared" si="37"/>
        <v>0</v>
      </c>
      <c r="K70" s="13"/>
      <c r="L70" s="14"/>
      <c r="M70" s="13"/>
      <c r="N70" s="13"/>
      <c r="O70" s="171"/>
      <c r="P70" s="3"/>
      <c r="Q70" s="3"/>
    </row>
    <row r="71" spans="1:17" ht="12.75">
      <c r="A71" s="186">
        <v>4</v>
      </c>
      <c r="B71" s="30"/>
      <c r="C71" s="13"/>
      <c r="D71" s="13">
        <f t="shared" si="35"/>
        <v>0</v>
      </c>
      <c r="E71" s="13">
        <f t="shared" si="32"/>
        <v>0</v>
      </c>
      <c r="F71" s="29">
        <f t="shared" si="36"/>
        <v>0</v>
      </c>
      <c r="G71" s="30"/>
      <c r="H71" s="29">
        <f t="shared" si="33"/>
        <v>0</v>
      </c>
      <c r="I71" s="13">
        <f t="shared" si="34"/>
        <v>0</v>
      </c>
      <c r="J71" s="13">
        <f t="shared" si="37"/>
        <v>0</v>
      </c>
      <c r="K71" s="13"/>
      <c r="L71" s="14"/>
      <c r="M71" s="13"/>
      <c r="N71" s="13"/>
      <c r="O71" s="171"/>
      <c r="P71" s="3"/>
      <c r="Q71" s="3"/>
    </row>
    <row r="72" spans="1:17" ht="12.75">
      <c r="A72" s="186">
        <v>5</v>
      </c>
      <c r="B72" s="30"/>
      <c r="C72" s="13"/>
      <c r="D72" s="13">
        <f t="shared" si="35"/>
        <v>0</v>
      </c>
      <c r="E72" s="13">
        <f t="shared" si="32"/>
        <v>0</v>
      </c>
      <c r="F72" s="29">
        <f t="shared" si="36"/>
        <v>0</v>
      </c>
      <c r="G72" s="30"/>
      <c r="H72" s="29">
        <f t="shared" si="33"/>
        <v>0</v>
      </c>
      <c r="I72" s="13">
        <f t="shared" si="34"/>
        <v>0</v>
      </c>
      <c r="J72" s="13">
        <f t="shared" si="37"/>
        <v>0</v>
      </c>
      <c r="K72" s="13"/>
      <c r="L72" s="14"/>
      <c r="M72" s="13"/>
      <c r="N72" s="13"/>
      <c r="O72" s="171"/>
      <c r="P72" s="3"/>
      <c r="Q72" s="3"/>
    </row>
    <row r="73" spans="1:17" ht="12.75">
      <c r="A73" s="186">
        <v>6</v>
      </c>
      <c r="B73" s="30"/>
      <c r="C73" s="13"/>
      <c r="D73" s="13">
        <f t="shared" si="35"/>
        <v>0</v>
      </c>
      <c r="E73" s="13">
        <f t="shared" si="32"/>
        <v>0</v>
      </c>
      <c r="F73" s="29">
        <f t="shared" si="36"/>
        <v>0</v>
      </c>
      <c r="G73" s="30"/>
      <c r="H73" s="29">
        <f t="shared" si="33"/>
        <v>0</v>
      </c>
      <c r="I73" s="13">
        <f t="shared" si="34"/>
        <v>0</v>
      </c>
      <c r="J73" s="13">
        <f t="shared" si="37"/>
        <v>0</v>
      </c>
      <c r="K73" s="13"/>
      <c r="L73" s="14"/>
      <c r="M73" s="13"/>
      <c r="N73" s="13"/>
      <c r="O73" s="171"/>
      <c r="P73" s="3"/>
      <c r="Q73" s="3"/>
    </row>
    <row r="74" spans="1:17" ht="12.75">
      <c r="A74" s="186">
        <v>7</v>
      </c>
      <c r="B74" s="30"/>
      <c r="C74" s="13"/>
      <c r="D74" s="13">
        <f t="shared" si="35"/>
        <v>0</v>
      </c>
      <c r="E74" s="13">
        <f t="shared" si="32"/>
        <v>0</v>
      </c>
      <c r="F74" s="29">
        <f t="shared" si="36"/>
        <v>0</v>
      </c>
      <c r="G74" s="30"/>
      <c r="H74" s="29">
        <f t="shared" si="33"/>
        <v>0</v>
      </c>
      <c r="I74" s="13">
        <f t="shared" si="34"/>
        <v>0</v>
      </c>
      <c r="J74" s="13">
        <f t="shared" si="37"/>
        <v>0</v>
      </c>
      <c r="K74" s="13"/>
      <c r="L74" s="14"/>
      <c r="M74" s="13"/>
      <c r="N74" s="13"/>
      <c r="O74" s="171"/>
      <c r="P74" s="3"/>
      <c r="Q74" s="3"/>
    </row>
    <row r="75" spans="1:17" ht="12.75">
      <c r="A75" s="186">
        <v>8</v>
      </c>
      <c r="B75" s="30"/>
      <c r="C75" s="13"/>
      <c r="D75" s="13">
        <f t="shared" si="35"/>
        <v>0</v>
      </c>
      <c r="E75" s="13">
        <f t="shared" si="32"/>
        <v>0</v>
      </c>
      <c r="F75" s="29">
        <f t="shared" si="36"/>
        <v>0</v>
      </c>
      <c r="G75" s="30"/>
      <c r="H75" s="29">
        <f t="shared" si="33"/>
        <v>0</v>
      </c>
      <c r="I75" s="13">
        <f t="shared" si="34"/>
        <v>0</v>
      </c>
      <c r="J75" s="13">
        <f t="shared" si="37"/>
        <v>0</v>
      </c>
      <c r="K75" s="13"/>
      <c r="L75" s="14"/>
      <c r="M75" s="13"/>
      <c r="N75" s="13"/>
      <c r="O75" s="171"/>
      <c r="P75" s="3"/>
      <c r="Q75" s="3"/>
    </row>
    <row r="76" spans="1:17" ht="12.75">
      <c r="A76" s="186">
        <v>9</v>
      </c>
      <c r="B76" s="30"/>
      <c r="C76" s="13"/>
      <c r="D76" s="13">
        <f t="shared" si="35"/>
        <v>0</v>
      </c>
      <c r="E76" s="13">
        <f t="shared" si="32"/>
        <v>0</v>
      </c>
      <c r="F76" s="29">
        <f t="shared" si="36"/>
        <v>0</v>
      </c>
      <c r="G76" s="30"/>
      <c r="H76" s="29">
        <f t="shared" si="33"/>
        <v>0</v>
      </c>
      <c r="I76" s="13">
        <f t="shared" si="34"/>
        <v>0</v>
      </c>
      <c r="J76" s="13">
        <f t="shared" si="37"/>
        <v>0</v>
      </c>
      <c r="K76" s="13"/>
      <c r="L76" s="14"/>
      <c r="M76" s="13"/>
      <c r="N76" s="13"/>
      <c r="O76" s="171"/>
      <c r="P76" s="3"/>
      <c r="Q76" s="3"/>
    </row>
    <row r="77" spans="1:17" ht="12.75">
      <c r="A77" s="186">
        <v>10</v>
      </c>
      <c r="B77" s="30"/>
      <c r="C77" s="13"/>
      <c r="D77" s="13">
        <f t="shared" si="35"/>
        <v>0</v>
      </c>
      <c r="E77" s="13">
        <f t="shared" si="32"/>
        <v>0</v>
      </c>
      <c r="F77" s="29">
        <f t="shared" si="36"/>
        <v>0</v>
      </c>
      <c r="G77" s="30"/>
      <c r="H77" s="29">
        <f t="shared" si="33"/>
        <v>0</v>
      </c>
      <c r="I77" s="13">
        <f t="shared" si="34"/>
        <v>0</v>
      </c>
      <c r="J77" s="13">
        <f t="shared" si="37"/>
        <v>0</v>
      </c>
      <c r="K77" s="13"/>
      <c r="L77" s="14"/>
      <c r="M77" s="13"/>
      <c r="N77" s="13"/>
      <c r="O77" s="171"/>
      <c r="P77" s="3"/>
      <c r="Q77" s="3"/>
    </row>
    <row r="78" spans="1:17" ht="12.75">
      <c r="A78" s="186">
        <v>11</v>
      </c>
      <c r="B78" s="30"/>
      <c r="C78" s="13"/>
      <c r="D78" s="13">
        <f t="shared" si="35"/>
        <v>0</v>
      </c>
      <c r="E78" s="13">
        <f t="shared" si="32"/>
        <v>0</v>
      </c>
      <c r="F78" s="29">
        <f t="shared" si="36"/>
        <v>0</v>
      </c>
      <c r="G78" s="30"/>
      <c r="H78" s="29">
        <f t="shared" si="33"/>
        <v>0</v>
      </c>
      <c r="I78" s="13">
        <f t="shared" si="34"/>
        <v>0</v>
      </c>
      <c r="J78" s="13">
        <f t="shared" si="37"/>
        <v>0</v>
      </c>
      <c r="K78" s="13"/>
      <c r="L78" s="14"/>
      <c r="M78" s="13"/>
      <c r="N78" s="13"/>
      <c r="O78" s="171"/>
      <c r="P78" s="3"/>
      <c r="Q78" s="3"/>
    </row>
    <row r="79" spans="1:17" ht="12.75">
      <c r="A79" s="186">
        <v>12</v>
      </c>
      <c r="B79" s="30"/>
      <c r="C79" s="13"/>
      <c r="D79" s="13">
        <f t="shared" si="35"/>
        <v>0</v>
      </c>
      <c r="E79" s="13">
        <f t="shared" si="32"/>
        <v>0</v>
      </c>
      <c r="F79" s="29">
        <f t="shared" si="36"/>
        <v>0</v>
      </c>
      <c r="G79" s="30"/>
      <c r="H79" s="29">
        <f t="shared" si="33"/>
        <v>0</v>
      </c>
      <c r="I79" s="13">
        <f t="shared" si="34"/>
        <v>0</v>
      </c>
      <c r="J79" s="13">
        <f t="shared" si="37"/>
        <v>0</v>
      </c>
      <c r="K79" s="13"/>
      <c r="L79" s="14"/>
      <c r="M79" s="13"/>
      <c r="N79" s="13"/>
      <c r="O79" s="171"/>
      <c r="P79" s="3"/>
      <c r="Q79" s="3"/>
    </row>
    <row r="80" spans="1:17" ht="13.5" thickBot="1">
      <c r="A80" s="5" t="s">
        <v>176</v>
      </c>
      <c r="B80" s="157"/>
      <c r="C80" s="13"/>
      <c r="D80" s="13"/>
      <c r="E80" s="13"/>
      <c r="F80" s="29">
        <f>IF(F81-E81&lt;500,F81-E81,F81-E81)</f>
        <v>0</v>
      </c>
      <c r="G80" s="157"/>
      <c r="H80" s="29">
        <f>IF(H81-G81&lt;500,H81-G81,H81-G81)</f>
        <v>0</v>
      </c>
      <c r="I80" s="13">
        <f t="shared" si="34"/>
        <v>0</v>
      </c>
      <c r="J80" s="107"/>
      <c r="K80" s="13"/>
      <c r="L80" s="14"/>
      <c r="M80" s="13"/>
      <c r="N80" s="13"/>
      <c r="O80" s="171"/>
      <c r="P80" s="3"/>
      <c r="Q80" s="3"/>
    </row>
    <row r="81" spans="1:17" ht="13.5" thickBot="1">
      <c r="A81" s="177" t="s">
        <v>177</v>
      </c>
      <c r="B81" s="43">
        <f>SUM(B67:B80)</f>
        <v>0</v>
      </c>
      <c r="C81" s="43">
        <f>SUM(C67:C80)</f>
        <v>0</v>
      </c>
      <c r="D81" s="32">
        <f>SUM(D68:D80)</f>
        <v>0</v>
      </c>
      <c r="E81" s="32">
        <f>SUM(E68:E80)</f>
        <v>0</v>
      </c>
      <c r="F81" s="42">
        <f>SUM(F67:F79)</f>
        <v>0</v>
      </c>
      <c r="G81" s="43">
        <f>SUM(G67:G80)</f>
        <v>0</v>
      </c>
      <c r="H81" s="42">
        <f>SUM(H67:H79)</f>
        <v>0</v>
      </c>
      <c r="I81" s="55">
        <f>SUM(I67:I80)</f>
        <v>0</v>
      </c>
      <c r="J81" s="53">
        <f>SUM(J68:J79)</f>
        <v>0</v>
      </c>
      <c r="K81" s="53">
        <f>SUM(K68:K79)</f>
        <v>0</v>
      </c>
      <c r="L81" s="33">
        <f>I81-K81-K67+J67</f>
        <v>0</v>
      </c>
      <c r="M81" s="13"/>
      <c r="N81" s="13"/>
      <c r="O81" s="171"/>
      <c r="P81" s="3"/>
      <c r="Q81" s="3"/>
    </row>
    <row r="82" spans="1:16" ht="12.75">
      <c r="A82" s="79"/>
      <c r="B82" s="13"/>
      <c r="C82" s="13"/>
      <c r="D82" s="13"/>
      <c r="E82" s="13"/>
      <c r="F82" s="13"/>
      <c r="G82" s="13"/>
      <c r="H82" s="15"/>
      <c r="I82" s="101"/>
      <c r="J82" s="101"/>
      <c r="K82" s="171"/>
      <c r="L82" s="13"/>
      <c r="M82" s="13"/>
      <c r="N82" s="171"/>
      <c r="O82" s="3"/>
      <c r="P82" s="3"/>
    </row>
    <row r="83" spans="1:16" ht="13.5" thickBot="1">
      <c r="A83" s="17" t="s">
        <v>144</v>
      </c>
      <c r="B83" s="3"/>
      <c r="C83" s="3"/>
      <c r="D83" s="3"/>
      <c r="E83" s="3"/>
      <c r="F83" s="426">
        <v>4621</v>
      </c>
      <c r="G83" s="3"/>
      <c r="H83" s="3"/>
      <c r="I83" s="3"/>
      <c r="J83" s="17" t="s">
        <v>421</v>
      </c>
      <c r="K83" s="3"/>
      <c r="L83" s="3"/>
      <c r="M83" s="3"/>
      <c r="N83" s="3"/>
      <c r="O83" s="3"/>
      <c r="P83" s="7"/>
    </row>
    <row r="84" spans="1:14" ht="12.75">
      <c r="A84" s="18" t="s">
        <v>25</v>
      </c>
      <c r="B84" s="34" t="s">
        <v>49</v>
      </c>
      <c r="C84" s="34" t="s">
        <v>44</v>
      </c>
      <c r="D84" s="19" t="s">
        <v>225</v>
      </c>
      <c r="E84" s="19" t="s">
        <v>34</v>
      </c>
      <c r="F84" s="22" t="s">
        <v>28</v>
      </c>
      <c r="J84" s="18" t="s">
        <v>25</v>
      </c>
      <c r="K84" s="34" t="s">
        <v>411</v>
      </c>
      <c r="L84" s="19" t="s">
        <v>412</v>
      </c>
      <c r="M84" s="19" t="s">
        <v>34</v>
      </c>
      <c r="N84" s="22"/>
    </row>
    <row r="85" spans="1:14" ht="13.5" thickBot="1">
      <c r="A85" s="24"/>
      <c r="B85" s="37"/>
      <c r="C85" s="37" t="s">
        <v>160</v>
      </c>
      <c r="D85" s="25" t="s">
        <v>226</v>
      </c>
      <c r="E85" s="25"/>
      <c r="F85" s="26"/>
      <c r="J85" s="24"/>
      <c r="K85" s="37"/>
      <c r="L85" s="25" t="s">
        <v>410</v>
      </c>
      <c r="M85" s="25"/>
      <c r="N85" s="26" t="s">
        <v>431</v>
      </c>
    </row>
    <row r="86" spans="1:14" ht="13.5" thickTop="1">
      <c r="A86" s="5"/>
      <c r="B86" s="2"/>
      <c r="C86" s="31"/>
      <c r="D86" s="13"/>
      <c r="E86" s="13"/>
      <c r="F86" s="29"/>
      <c r="J86" s="5"/>
      <c r="K86" s="31"/>
      <c r="L86" s="13"/>
      <c r="M86" s="13"/>
      <c r="N86" s="29"/>
    </row>
    <row r="87" spans="1:14" ht="12.75">
      <c r="A87" s="5" t="s">
        <v>43</v>
      </c>
      <c r="B87" s="2"/>
      <c r="C87" s="31"/>
      <c r="D87" s="13"/>
      <c r="E87" s="13"/>
      <c r="F87" s="29"/>
      <c r="J87" s="5"/>
      <c r="K87" s="31"/>
      <c r="L87" s="13"/>
      <c r="M87" s="13"/>
      <c r="N87" s="29"/>
    </row>
    <row r="88" spans="1:14" ht="12.75">
      <c r="A88" s="186">
        <v>1</v>
      </c>
      <c r="B88" s="31">
        <f aca="true" t="shared" si="38" ref="B88:B99">B8</f>
        <v>0</v>
      </c>
      <c r="C88" s="31"/>
      <c r="D88" s="13"/>
      <c r="E88" s="13">
        <f aca="true" t="shared" si="39" ref="E88:E99">+C88+D88</f>
        <v>0</v>
      </c>
      <c r="F88" s="29">
        <f>IF(E88=0,0,ROUND(E88/1000,0)*1000)</f>
        <v>0</v>
      </c>
      <c r="J88" s="186">
        <v>1</v>
      </c>
      <c r="K88" s="31"/>
      <c r="L88" s="13"/>
      <c r="M88" s="13">
        <f aca="true" t="shared" si="40" ref="M88:M99">+K88+L88</f>
        <v>0</v>
      </c>
      <c r="N88" s="29">
        <f>+L88+E107</f>
        <v>0</v>
      </c>
    </row>
    <row r="89" spans="1:14" ht="12.75">
      <c r="A89" s="186">
        <v>2</v>
      </c>
      <c r="B89" s="31">
        <f t="shared" si="38"/>
        <v>0</v>
      </c>
      <c r="C89" s="31"/>
      <c r="D89" s="13"/>
      <c r="E89" s="13">
        <f t="shared" si="39"/>
        <v>0</v>
      </c>
      <c r="F89" s="29">
        <f aca="true" t="shared" si="41" ref="F89:F99">IF(E89=0,0,ROUND(E89/1000,0)*1000)</f>
        <v>0</v>
      </c>
      <c r="J89" s="186">
        <v>2</v>
      </c>
      <c r="K89" s="31"/>
      <c r="L89" s="13"/>
      <c r="M89" s="13">
        <f t="shared" si="40"/>
        <v>0</v>
      </c>
      <c r="N89" s="29">
        <f aca="true" t="shared" si="42" ref="N89:N99">+L89+E108</f>
        <v>0</v>
      </c>
    </row>
    <row r="90" spans="1:14" ht="12.75">
      <c r="A90" s="186">
        <v>3</v>
      </c>
      <c r="B90" s="31">
        <f t="shared" si="38"/>
        <v>0</v>
      </c>
      <c r="C90" s="31"/>
      <c r="D90" s="13"/>
      <c r="E90" s="13">
        <f t="shared" si="39"/>
        <v>0</v>
      </c>
      <c r="F90" s="29">
        <f t="shared" si="41"/>
        <v>0</v>
      </c>
      <c r="J90" s="186">
        <v>3</v>
      </c>
      <c r="K90" s="31"/>
      <c r="L90" s="13"/>
      <c r="M90" s="13">
        <f t="shared" si="40"/>
        <v>0</v>
      </c>
      <c r="N90" s="29">
        <f t="shared" si="42"/>
        <v>0</v>
      </c>
    </row>
    <row r="91" spans="1:14" ht="12.75">
      <c r="A91" s="186">
        <v>4</v>
      </c>
      <c r="B91" s="31">
        <f t="shared" si="38"/>
        <v>0</v>
      </c>
      <c r="C91" s="31"/>
      <c r="D91" s="13"/>
      <c r="E91" s="13">
        <f t="shared" si="39"/>
        <v>0</v>
      </c>
      <c r="F91" s="29">
        <f t="shared" si="41"/>
        <v>0</v>
      </c>
      <c r="J91" s="186">
        <v>4</v>
      </c>
      <c r="K91" s="31"/>
      <c r="L91" s="13"/>
      <c r="M91" s="13">
        <f t="shared" si="40"/>
        <v>0</v>
      </c>
      <c r="N91" s="29">
        <f t="shared" si="42"/>
        <v>0</v>
      </c>
    </row>
    <row r="92" spans="1:14" ht="12.75">
      <c r="A92" s="186">
        <v>5</v>
      </c>
      <c r="B92" s="31">
        <f t="shared" si="38"/>
        <v>0</v>
      </c>
      <c r="C92" s="31"/>
      <c r="D92" s="13"/>
      <c r="E92" s="13">
        <f t="shared" si="39"/>
        <v>0</v>
      </c>
      <c r="F92" s="29">
        <f t="shared" si="41"/>
        <v>0</v>
      </c>
      <c r="J92" s="186">
        <v>5</v>
      </c>
      <c r="K92" s="31"/>
      <c r="L92" s="13"/>
      <c r="M92" s="13">
        <f t="shared" si="40"/>
        <v>0</v>
      </c>
      <c r="N92" s="29">
        <f t="shared" si="42"/>
        <v>0</v>
      </c>
    </row>
    <row r="93" spans="1:14" ht="12.75">
      <c r="A93" s="186">
        <v>6</v>
      </c>
      <c r="B93" s="31">
        <f t="shared" si="38"/>
        <v>0</v>
      </c>
      <c r="C93" s="31"/>
      <c r="D93" s="13"/>
      <c r="E93" s="13">
        <f t="shared" si="39"/>
        <v>0</v>
      </c>
      <c r="F93" s="29">
        <f t="shared" si="41"/>
        <v>0</v>
      </c>
      <c r="J93" s="186">
        <v>6</v>
      </c>
      <c r="K93" s="31"/>
      <c r="L93" s="13"/>
      <c r="M93" s="13">
        <f t="shared" si="40"/>
        <v>0</v>
      </c>
      <c r="N93" s="29">
        <f t="shared" si="42"/>
        <v>0</v>
      </c>
    </row>
    <row r="94" spans="1:14" ht="12.75">
      <c r="A94" s="186">
        <v>7</v>
      </c>
      <c r="B94" s="31">
        <f t="shared" si="38"/>
        <v>0</v>
      </c>
      <c r="C94" s="31"/>
      <c r="D94" s="13"/>
      <c r="E94" s="13">
        <f t="shared" si="39"/>
        <v>0</v>
      </c>
      <c r="F94" s="29">
        <f t="shared" si="41"/>
        <v>0</v>
      </c>
      <c r="J94" s="186">
        <v>7</v>
      </c>
      <c r="K94" s="31"/>
      <c r="L94" s="13"/>
      <c r="M94" s="13">
        <f t="shared" si="40"/>
        <v>0</v>
      </c>
      <c r="N94" s="29">
        <f t="shared" si="42"/>
        <v>0</v>
      </c>
    </row>
    <row r="95" spans="1:14" ht="12.75">
      <c r="A95" s="186">
        <v>8</v>
      </c>
      <c r="B95" s="31">
        <f t="shared" si="38"/>
        <v>0</v>
      </c>
      <c r="C95" s="31"/>
      <c r="D95" s="13"/>
      <c r="E95" s="13">
        <f t="shared" si="39"/>
        <v>0</v>
      </c>
      <c r="F95" s="29">
        <f t="shared" si="41"/>
        <v>0</v>
      </c>
      <c r="J95" s="186">
        <v>8</v>
      </c>
      <c r="K95" s="31"/>
      <c r="L95" s="13"/>
      <c r="M95" s="13">
        <f t="shared" si="40"/>
        <v>0</v>
      </c>
      <c r="N95" s="29">
        <f t="shared" si="42"/>
        <v>0</v>
      </c>
    </row>
    <row r="96" spans="1:14" ht="12.75">
      <c r="A96" s="186">
        <v>9</v>
      </c>
      <c r="B96" s="31">
        <f t="shared" si="38"/>
        <v>0</v>
      </c>
      <c r="C96" s="31"/>
      <c r="D96" s="13"/>
      <c r="E96" s="13">
        <f t="shared" si="39"/>
        <v>0</v>
      </c>
      <c r="F96" s="29">
        <f t="shared" si="41"/>
        <v>0</v>
      </c>
      <c r="J96" s="186">
        <v>9</v>
      </c>
      <c r="K96" s="31"/>
      <c r="L96" s="13"/>
      <c r="M96" s="13">
        <f t="shared" si="40"/>
        <v>0</v>
      </c>
      <c r="N96" s="29">
        <f t="shared" si="42"/>
        <v>0</v>
      </c>
    </row>
    <row r="97" spans="1:14" ht="12.75">
      <c r="A97" s="186">
        <v>10</v>
      </c>
      <c r="B97" s="31">
        <f t="shared" si="38"/>
        <v>0</v>
      </c>
      <c r="C97" s="31"/>
      <c r="D97" s="13"/>
      <c r="E97" s="13">
        <f t="shared" si="39"/>
        <v>0</v>
      </c>
      <c r="F97" s="29">
        <f t="shared" si="41"/>
        <v>0</v>
      </c>
      <c r="J97" s="186">
        <v>10</v>
      </c>
      <c r="K97" s="31"/>
      <c r="L97" s="13"/>
      <c r="M97" s="13">
        <f t="shared" si="40"/>
        <v>0</v>
      </c>
      <c r="N97" s="29">
        <f t="shared" si="42"/>
        <v>0</v>
      </c>
    </row>
    <row r="98" spans="1:14" ht="12.75">
      <c r="A98" s="186">
        <v>11</v>
      </c>
      <c r="B98" s="31">
        <f t="shared" si="38"/>
        <v>0</v>
      </c>
      <c r="C98" s="31"/>
      <c r="D98" s="13"/>
      <c r="E98" s="13">
        <f t="shared" si="39"/>
        <v>0</v>
      </c>
      <c r="F98" s="29">
        <f t="shared" si="41"/>
        <v>0</v>
      </c>
      <c r="J98" s="186">
        <v>11</v>
      </c>
      <c r="K98" s="31"/>
      <c r="L98" s="13"/>
      <c r="M98" s="13">
        <f t="shared" si="40"/>
        <v>0</v>
      </c>
      <c r="N98" s="29">
        <f t="shared" si="42"/>
        <v>0</v>
      </c>
    </row>
    <row r="99" spans="1:14" ht="12.75">
      <c r="A99" s="186">
        <v>12</v>
      </c>
      <c r="B99" s="31">
        <f t="shared" si="38"/>
        <v>0</v>
      </c>
      <c r="C99" s="31"/>
      <c r="D99" s="13"/>
      <c r="E99" s="13">
        <f t="shared" si="39"/>
        <v>0</v>
      </c>
      <c r="F99" s="29">
        <f t="shared" si="41"/>
        <v>0</v>
      </c>
      <c r="J99" s="186">
        <v>12</v>
      </c>
      <c r="K99" s="31"/>
      <c r="L99" s="13"/>
      <c r="M99" s="13">
        <f t="shared" si="40"/>
        <v>0</v>
      </c>
      <c r="N99" s="29">
        <f t="shared" si="42"/>
        <v>0</v>
      </c>
    </row>
    <row r="100" spans="1:14" ht="12.75">
      <c r="A100" s="5" t="s">
        <v>176</v>
      </c>
      <c r="B100" s="2"/>
      <c r="C100" s="31"/>
      <c r="D100" s="13"/>
      <c r="E100" s="13"/>
      <c r="F100" s="29">
        <f>IF(F101-E101&lt;500,F101-E101,F101-E101)</f>
        <v>0</v>
      </c>
      <c r="J100" s="5"/>
      <c r="K100" s="31"/>
      <c r="L100" s="13"/>
      <c r="M100" s="13"/>
      <c r="N100" s="29"/>
    </row>
    <row r="101" spans="1:14" ht="13.5" thickBot="1">
      <c r="A101" s="177" t="s">
        <v>177</v>
      </c>
      <c r="B101" s="161">
        <f>SUM(B88:B100)</f>
        <v>0</v>
      </c>
      <c r="C101" s="41">
        <f>SUM(C87:C100)</f>
        <v>0</v>
      </c>
      <c r="D101" s="32">
        <f>SUM(D87:D100)</f>
        <v>0</v>
      </c>
      <c r="E101" s="32">
        <f>SUM(E87:E100)</f>
        <v>0</v>
      </c>
      <c r="F101" s="42">
        <f>SUM(F87:F99)</f>
        <v>0</v>
      </c>
      <c r="J101" s="177" t="s">
        <v>177</v>
      </c>
      <c r="K101" s="41">
        <f>SUM(K87:K100)</f>
        <v>0</v>
      </c>
      <c r="L101" s="32">
        <f>SUM(L87:L100)</f>
        <v>0</v>
      </c>
      <c r="M101" s="32">
        <f>SUM(M87:M100)</f>
        <v>0</v>
      </c>
      <c r="N101" s="42">
        <f>SUM(N87:N100)</f>
        <v>0</v>
      </c>
    </row>
    <row r="102" spans="1:15" ht="13.5" thickBo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4" ht="12.75">
      <c r="A103" s="18" t="s">
        <v>25</v>
      </c>
      <c r="B103" s="36" t="s">
        <v>408</v>
      </c>
      <c r="C103" s="466" t="s">
        <v>413</v>
      </c>
      <c r="D103" s="460"/>
      <c r="E103" s="460"/>
      <c r="F103" s="460"/>
      <c r="G103" s="460"/>
      <c r="H103" s="461"/>
      <c r="I103" s="457" t="s">
        <v>230</v>
      </c>
      <c r="J103" s="458"/>
      <c r="K103" s="19" t="s">
        <v>45</v>
      </c>
      <c r="L103" s="19" t="s">
        <v>105</v>
      </c>
      <c r="M103" s="19" t="s">
        <v>29</v>
      </c>
      <c r="N103" s="23" t="s">
        <v>31</v>
      </c>
    </row>
    <row r="104" spans="1:14" ht="13.5" thickBot="1">
      <c r="A104" s="24"/>
      <c r="B104" s="421" t="s">
        <v>409</v>
      </c>
      <c r="C104" s="413">
        <v>0.25</v>
      </c>
      <c r="D104" s="413" t="s">
        <v>28</v>
      </c>
      <c r="E104" s="413">
        <v>0.54</v>
      </c>
      <c r="F104" s="25" t="s">
        <v>414</v>
      </c>
      <c r="G104" s="25" t="s">
        <v>34</v>
      </c>
      <c r="H104" s="26" t="s">
        <v>28</v>
      </c>
      <c r="I104" s="38" t="s">
        <v>34</v>
      </c>
      <c r="J104" s="26" t="s">
        <v>28</v>
      </c>
      <c r="K104" s="25" t="s">
        <v>20</v>
      </c>
      <c r="L104" s="25" t="s">
        <v>106</v>
      </c>
      <c r="M104" s="25"/>
      <c r="N104" s="28"/>
    </row>
    <row r="105" spans="1:14" ht="13.5" thickTop="1">
      <c r="A105" s="5"/>
      <c r="B105" s="422"/>
      <c r="C105" s="414"/>
      <c r="D105" s="414"/>
      <c r="E105" s="414"/>
      <c r="F105" s="13"/>
      <c r="G105" s="13"/>
      <c r="H105" s="29"/>
      <c r="I105" s="13"/>
      <c r="J105" s="29"/>
      <c r="K105" s="13"/>
      <c r="L105" s="13"/>
      <c r="M105" s="13"/>
      <c r="N105" s="4"/>
    </row>
    <row r="106" spans="1:14" ht="12.75">
      <c r="A106" s="5" t="s">
        <v>43</v>
      </c>
      <c r="B106" s="423"/>
      <c r="C106" s="13"/>
      <c r="D106" s="13"/>
      <c r="E106" s="13"/>
      <c r="F106" s="13"/>
      <c r="G106" s="13"/>
      <c r="H106" s="29"/>
      <c r="I106" s="13"/>
      <c r="J106" s="29"/>
      <c r="K106" s="13"/>
      <c r="L106" s="13">
        <v>0</v>
      </c>
      <c r="M106" s="13">
        <v>0</v>
      </c>
      <c r="N106" s="14"/>
    </row>
    <row r="107" spans="1:14" ht="12.75">
      <c r="A107" s="186">
        <v>1</v>
      </c>
      <c r="B107" s="423"/>
      <c r="C107" s="13">
        <f aca="true" t="shared" si="43" ref="C107:C118">+K88*$C$104</f>
        <v>0</v>
      </c>
      <c r="D107" s="13">
        <f>IF(C107=" ",0,ROUND(C107/1000,0)*1000)</f>
        <v>0</v>
      </c>
      <c r="E107" s="13">
        <f>+L88*$E$104</f>
        <v>0</v>
      </c>
      <c r="F107" s="13">
        <f aca="true" t="shared" si="44" ref="F107:F118">+C168</f>
        <v>0</v>
      </c>
      <c r="G107" s="13">
        <f>+E107+F107</f>
        <v>0</v>
      </c>
      <c r="H107" s="29">
        <f>IF(G107=" ",0,ROUND(G107/1000,0)*1000)</f>
        <v>0</v>
      </c>
      <c r="I107" s="13">
        <f>+B107+F107+C107</f>
        <v>0</v>
      </c>
      <c r="J107" s="29">
        <f>+H107+D107+B107</f>
        <v>0</v>
      </c>
      <c r="K107" s="13">
        <f aca="true" t="shared" si="45" ref="K107:K119">+I107+E88</f>
        <v>0</v>
      </c>
      <c r="L107" s="13">
        <f aca="true" t="shared" si="46" ref="L107:L118">+F88+J107</f>
        <v>0</v>
      </c>
      <c r="M107" s="13"/>
      <c r="N107" s="14"/>
    </row>
    <row r="108" spans="1:14" ht="12.75">
      <c r="A108" s="186">
        <v>2</v>
      </c>
      <c r="B108" s="423"/>
      <c r="C108" s="13">
        <f t="shared" si="43"/>
        <v>0</v>
      </c>
      <c r="D108" s="13">
        <f aca="true" t="shared" si="47" ref="D108:D118">IF(C108=" ",0,ROUND(C108/1000,0)*1000)</f>
        <v>0</v>
      </c>
      <c r="E108" s="13">
        <f aca="true" t="shared" si="48" ref="E108:E118">+L89*$E$104</f>
        <v>0</v>
      </c>
      <c r="F108" s="13">
        <f t="shared" si="44"/>
        <v>0</v>
      </c>
      <c r="G108" s="13">
        <f aca="true" t="shared" si="49" ref="G108:G118">+E108+F108</f>
        <v>0</v>
      </c>
      <c r="H108" s="29">
        <f aca="true" t="shared" si="50" ref="H108:H118">IF(G108=" ",0,ROUND(G108/1000,0)*1000)</f>
        <v>0</v>
      </c>
      <c r="I108" s="13">
        <f aca="true" t="shared" si="51" ref="I108:I119">+B108+F108+C108</f>
        <v>0</v>
      </c>
      <c r="J108" s="29">
        <f aca="true" t="shared" si="52" ref="J108:J118">+H108+D108+B108</f>
        <v>0</v>
      </c>
      <c r="K108" s="13">
        <f t="shared" si="45"/>
        <v>0</v>
      </c>
      <c r="L108" s="13">
        <f t="shared" si="46"/>
        <v>0</v>
      </c>
      <c r="M108" s="13"/>
      <c r="N108" s="14"/>
    </row>
    <row r="109" spans="1:14" ht="12.75">
      <c r="A109" s="186">
        <v>3</v>
      </c>
      <c r="B109" s="423"/>
      <c r="C109" s="13">
        <f t="shared" si="43"/>
        <v>0</v>
      </c>
      <c r="D109" s="13">
        <f t="shared" si="47"/>
        <v>0</v>
      </c>
      <c r="E109" s="13">
        <f t="shared" si="48"/>
        <v>0</v>
      </c>
      <c r="F109" s="13">
        <f t="shared" si="44"/>
        <v>0</v>
      </c>
      <c r="G109" s="13">
        <f t="shared" si="49"/>
        <v>0</v>
      </c>
      <c r="H109" s="29">
        <f t="shared" si="50"/>
        <v>0</v>
      </c>
      <c r="I109" s="13">
        <f t="shared" si="51"/>
        <v>0</v>
      </c>
      <c r="J109" s="29">
        <f t="shared" si="52"/>
        <v>0</v>
      </c>
      <c r="K109" s="13">
        <f t="shared" si="45"/>
        <v>0</v>
      </c>
      <c r="L109" s="13">
        <f t="shared" si="46"/>
        <v>0</v>
      </c>
      <c r="M109" s="13"/>
      <c r="N109" s="14"/>
    </row>
    <row r="110" spans="1:14" ht="12.75">
      <c r="A110" s="186">
        <v>4</v>
      </c>
      <c r="B110" s="423"/>
      <c r="C110" s="13">
        <f t="shared" si="43"/>
        <v>0</v>
      </c>
      <c r="D110" s="13">
        <f t="shared" si="47"/>
        <v>0</v>
      </c>
      <c r="E110" s="13">
        <f t="shared" si="48"/>
        <v>0</v>
      </c>
      <c r="F110" s="13">
        <f t="shared" si="44"/>
        <v>0</v>
      </c>
      <c r="G110" s="13">
        <f t="shared" si="49"/>
        <v>0</v>
      </c>
      <c r="H110" s="29">
        <f t="shared" si="50"/>
        <v>0</v>
      </c>
      <c r="I110" s="13">
        <f t="shared" si="51"/>
        <v>0</v>
      </c>
      <c r="J110" s="29">
        <f t="shared" si="52"/>
        <v>0</v>
      </c>
      <c r="K110" s="13">
        <f t="shared" si="45"/>
        <v>0</v>
      </c>
      <c r="L110" s="13">
        <f t="shared" si="46"/>
        <v>0</v>
      </c>
      <c r="M110" s="13"/>
      <c r="N110" s="14"/>
    </row>
    <row r="111" spans="1:14" ht="12.75">
      <c r="A111" s="186">
        <v>5</v>
      </c>
      <c r="B111" s="423"/>
      <c r="C111" s="13">
        <f t="shared" si="43"/>
        <v>0</v>
      </c>
      <c r="D111" s="13">
        <f t="shared" si="47"/>
        <v>0</v>
      </c>
      <c r="E111" s="13">
        <f t="shared" si="48"/>
        <v>0</v>
      </c>
      <c r="F111" s="13">
        <f t="shared" si="44"/>
        <v>0</v>
      </c>
      <c r="G111" s="13">
        <f t="shared" si="49"/>
        <v>0</v>
      </c>
      <c r="H111" s="29">
        <f t="shared" si="50"/>
        <v>0</v>
      </c>
      <c r="I111" s="13">
        <f t="shared" si="51"/>
        <v>0</v>
      </c>
      <c r="J111" s="29">
        <f t="shared" si="52"/>
        <v>0</v>
      </c>
      <c r="K111" s="13">
        <f t="shared" si="45"/>
        <v>0</v>
      </c>
      <c r="L111" s="13">
        <f t="shared" si="46"/>
        <v>0</v>
      </c>
      <c r="M111" s="13"/>
      <c r="N111" s="14"/>
    </row>
    <row r="112" spans="1:14" ht="12.75">
      <c r="A112" s="186">
        <v>6</v>
      </c>
      <c r="B112" s="423"/>
      <c r="C112" s="13">
        <f t="shared" si="43"/>
        <v>0</v>
      </c>
      <c r="D112" s="13">
        <f t="shared" si="47"/>
        <v>0</v>
      </c>
      <c r="E112" s="13">
        <f t="shared" si="48"/>
        <v>0</v>
      </c>
      <c r="F112" s="13">
        <f t="shared" si="44"/>
        <v>0</v>
      </c>
      <c r="G112" s="13">
        <f t="shared" si="49"/>
        <v>0</v>
      </c>
      <c r="H112" s="29">
        <f t="shared" si="50"/>
        <v>0</v>
      </c>
      <c r="I112" s="13">
        <f t="shared" si="51"/>
        <v>0</v>
      </c>
      <c r="J112" s="29">
        <f t="shared" si="52"/>
        <v>0</v>
      </c>
      <c r="K112" s="13">
        <f t="shared" si="45"/>
        <v>0</v>
      </c>
      <c r="L112" s="13">
        <f t="shared" si="46"/>
        <v>0</v>
      </c>
      <c r="M112" s="13"/>
      <c r="N112" s="14"/>
    </row>
    <row r="113" spans="1:14" ht="12.75">
      <c r="A113" s="186">
        <v>7</v>
      </c>
      <c r="B113" s="423"/>
      <c r="C113" s="13">
        <f t="shared" si="43"/>
        <v>0</v>
      </c>
      <c r="D113" s="13">
        <f t="shared" si="47"/>
        <v>0</v>
      </c>
      <c r="E113" s="13">
        <f t="shared" si="48"/>
        <v>0</v>
      </c>
      <c r="F113" s="13">
        <f t="shared" si="44"/>
        <v>0</v>
      </c>
      <c r="G113" s="13">
        <f t="shared" si="49"/>
        <v>0</v>
      </c>
      <c r="H113" s="29">
        <f t="shared" si="50"/>
        <v>0</v>
      </c>
      <c r="I113" s="13">
        <f t="shared" si="51"/>
        <v>0</v>
      </c>
      <c r="J113" s="29">
        <f t="shared" si="52"/>
        <v>0</v>
      </c>
      <c r="K113" s="13">
        <f t="shared" si="45"/>
        <v>0</v>
      </c>
      <c r="L113" s="13">
        <f t="shared" si="46"/>
        <v>0</v>
      </c>
      <c r="M113" s="13"/>
      <c r="N113" s="14"/>
    </row>
    <row r="114" spans="1:14" ht="12.75">
      <c r="A114" s="186">
        <v>8</v>
      </c>
      <c r="B114" s="423"/>
      <c r="C114" s="13">
        <f t="shared" si="43"/>
        <v>0</v>
      </c>
      <c r="D114" s="13">
        <f t="shared" si="47"/>
        <v>0</v>
      </c>
      <c r="E114" s="13">
        <f t="shared" si="48"/>
        <v>0</v>
      </c>
      <c r="F114" s="13">
        <f t="shared" si="44"/>
        <v>0</v>
      </c>
      <c r="G114" s="13">
        <f t="shared" si="49"/>
        <v>0</v>
      </c>
      <c r="H114" s="29">
        <f t="shared" si="50"/>
        <v>0</v>
      </c>
      <c r="I114" s="13">
        <f t="shared" si="51"/>
        <v>0</v>
      </c>
      <c r="J114" s="29">
        <f t="shared" si="52"/>
        <v>0</v>
      </c>
      <c r="K114" s="13">
        <f t="shared" si="45"/>
        <v>0</v>
      </c>
      <c r="L114" s="13">
        <f t="shared" si="46"/>
        <v>0</v>
      </c>
      <c r="M114" s="13"/>
      <c r="N114" s="14"/>
    </row>
    <row r="115" spans="1:14" ht="12.75">
      <c r="A115" s="186">
        <v>9</v>
      </c>
      <c r="B115" s="423"/>
      <c r="C115" s="13">
        <f t="shared" si="43"/>
        <v>0</v>
      </c>
      <c r="D115" s="13">
        <f t="shared" si="47"/>
        <v>0</v>
      </c>
      <c r="E115" s="13">
        <f t="shared" si="48"/>
        <v>0</v>
      </c>
      <c r="F115" s="13">
        <f t="shared" si="44"/>
        <v>0</v>
      </c>
      <c r="G115" s="13">
        <f t="shared" si="49"/>
        <v>0</v>
      </c>
      <c r="H115" s="29">
        <f t="shared" si="50"/>
        <v>0</v>
      </c>
      <c r="I115" s="13">
        <f t="shared" si="51"/>
        <v>0</v>
      </c>
      <c r="J115" s="29">
        <f t="shared" si="52"/>
        <v>0</v>
      </c>
      <c r="K115" s="13">
        <f t="shared" si="45"/>
        <v>0</v>
      </c>
      <c r="L115" s="13">
        <f t="shared" si="46"/>
        <v>0</v>
      </c>
      <c r="M115" s="13"/>
      <c r="N115" s="14"/>
    </row>
    <row r="116" spans="1:14" ht="12.75">
      <c r="A116" s="186">
        <v>10</v>
      </c>
      <c r="B116" s="423"/>
      <c r="C116" s="13">
        <f t="shared" si="43"/>
        <v>0</v>
      </c>
      <c r="D116" s="13">
        <f t="shared" si="47"/>
        <v>0</v>
      </c>
      <c r="E116" s="13">
        <f t="shared" si="48"/>
        <v>0</v>
      </c>
      <c r="F116" s="13">
        <f t="shared" si="44"/>
        <v>0</v>
      </c>
      <c r="G116" s="13">
        <f t="shared" si="49"/>
        <v>0</v>
      </c>
      <c r="H116" s="29">
        <f t="shared" si="50"/>
        <v>0</v>
      </c>
      <c r="I116" s="13">
        <f t="shared" si="51"/>
        <v>0</v>
      </c>
      <c r="J116" s="29">
        <f t="shared" si="52"/>
        <v>0</v>
      </c>
      <c r="K116" s="13">
        <f t="shared" si="45"/>
        <v>0</v>
      </c>
      <c r="L116" s="13">
        <f t="shared" si="46"/>
        <v>0</v>
      </c>
      <c r="M116" s="13"/>
      <c r="N116" s="14"/>
    </row>
    <row r="117" spans="1:14" ht="12.75">
      <c r="A117" s="186">
        <v>11</v>
      </c>
      <c r="B117" s="423"/>
      <c r="C117" s="13">
        <f t="shared" si="43"/>
        <v>0</v>
      </c>
      <c r="D117" s="13">
        <f t="shared" si="47"/>
        <v>0</v>
      </c>
      <c r="E117" s="13">
        <f t="shared" si="48"/>
        <v>0</v>
      </c>
      <c r="F117" s="13">
        <f t="shared" si="44"/>
        <v>0</v>
      </c>
      <c r="G117" s="13">
        <f t="shared" si="49"/>
        <v>0</v>
      </c>
      <c r="H117" s="29">
        <f t="shared" si="50"/>
        <v>0</v>
      </c>
      <c r="I117" s="13">
        <f t="shared" si="51"/>
        <v>0</v>
      </c>
      <c r="J117" s="29">
        <f t="shared" si="52"/>
        <v>0</v>
      </c>
      <c r="K117" s="13">
        <f t="shared" si="45"/>
        <v>0</v>
      </c>
      <c r="L117" s="13">
        <f t="shared" si="46"/>
        <v>0</v>
      </c>
      <c r="M117" s="13"/>
      <c r="N117" s="14"/>
    </row>
    <row r="118" spans="1:14" ht="12.75">
      <c r="A118" s="186">
        <v>12</v>
      </c>
      <c r="B118" s="423"/>
      <c r="C118" s="13">
        <f t="shared" si="43"/>
        <v>0</v>
      </c>
      <c r="D118" s="13">
        <f t="shared" si="47"/>
        <v>0</v>
      </c>
      <c r="E118" s="13">
        <f t="shared" si="48"/>
        <v>0</v>
      </c>
      <c r="F118" s="13">
        <f t="shared" si="44"/>
        <v>0</v>
      </c>
      <c r="G118" s="13">
        <f t="shared" si="49"/>
        <v>0</v>
      </c>
      <c r="H118" s="29">
        <f t="shared" si="50"/>
        <v>0</v>
      </c>
      <c r="I118" s="13">
        <f t="shared" si="51"/>
        <v>0</v>
      </c>
      <c r="J118" s="29">
        <f t="shared" si="52"/>
        <v>0</v>
      </c>
      <c r="K118" s="13">
        <f t="shared" si="45"/>
        <v>0</v>
      </c>
      <c r="L118" s="13">
        <f t="shared" si="46"/>
        <v>0</v>
      </c>
      <c r="M118" s="13"/>
      <c r="N118" s="14"/>
    </row>
    <row r="119" spans="1:14" ht="13.5" thickBot="1">
      <c r="A119" s="5" t="s">
        <v>176</v>
      </c>
      <c r="B119" s="424"/>
      <c r="C119" s="107"/>
      <c r="D119" s="107">
        <f>IF(D120-C120&lt;500,D120-C120,D120-C120)</f>
        <v>0</v>
      </c>
      <c r="E119" s="107"/>
      <c r="F119" s="13"/>
      <c r="G119" s="13"/>
      <c r="H119" s="29">
        <f>IF(H120-G120&lt;500,H120-G120,H120-G120)</f>
        <v>0</v>
      </c>
      <c r="I119" s="13">
        <f t="shared" si="51"/>
        <v>0</v>
      </c>
      <c r="J119" s="29"/>
      <c r="K119" s="13">
        <f t="shared" si="45"/>
        <v>0</v>
      </c>
      <c r="L119" s="13"/>
      <c r="M119" s="13"/>
      <c r="N119" s="4"/>
    </row>
    <row r="120" spans="1:14" ht="13.5" thickBot="1">
      <c r="A120" s="177" t="s">
        <v>177</v>
      </c>
      <c r="B120" s="425">
        <f>SUM(B106:B119)</f>
        <v>0</v>
      </c>
      <c r="C120" s="32">
        <f>SUM(C107:C119)</f>
        <v>0</v>
      </c>
      <c r="D120" s="32">
        <f>SUM(D107:D118)</f>
        <v>0</v>
      </c>
      <c r="E120" s="32">
        <f>SUM(E106:E119)</f>
        <v>0</v>
      </c>
      <c r="F120" s="32">
        <f>SUM(F106:F119)</f>
        <v>0</v>
      </c>
      <c r="G120" s="32">
        <f>SUM(G106:G119)</f>
        <v>0</v>
      </c>
      <c r="H120" s="42">
        <f>SUM(H106:H118)</f>
        <v>0</v>
      </c>
      <c r="I120" s="32">
        <f>SUM(I106:I119)</f>
        <v>0</v>
      </c>
      <c r="J120" s="42">
        <f>SUM(J107:J118)</f>
        <v>0</v>
      </c>
      <c r="K120" s="32">
        <f>SUM(K106:K119)</f>
        <v>0</v>
      </c>
      <c r="L120" s="32">
        <f>SUM(L107:L118)</f>
        <v>0</v>
      </c>
      <c r="M120" s="32">
        <f>SUM(M107:M118)</f>
        <v>0</v>
      </c>
      <c r="N120" s="33">
        <f>K120-M120-M106+L106</f>
        <v>0</v>
      </c>
    </row>
    <row r="121" spans="1:1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3" ht="13.5" thickBot="1">
      <c r="A123" s="17" t="s">
        <v>53</v>
      </c>
      <c r="B123" s="3"/>
      <c r="C123" s="79">
        <v>4731</v>
      </c>
      <c r="D123" s="3"/>
      <c r="E123" s="79">
        <v>4732</v>
      </c>
      <c r="F123" s="3"/>
      <c r="G123" s="79">
        <v>4733</v>
      </c>
      <c r="I123" s="79">
        <v>4734</v>
      </c>
      <c r="K123" s="79">
        <v>4735</v>
      </c>
      <c r="M123" s="235">
        <v>4736</v>
      </c>
    </row>
    <row r="124" spans="1:16" ht="12.75">
      <c r="A124" s="184" t="s">
        <v>25</v>
      </c>
      <c r="B124" s="468" t="s">
        <v>192</v>
      </c>
      <c r="C124" s="458"/>
      <c r="D124" s="457" t="s">
        <v>227</v>
      </c>
      <c r="E124" s="458"/>
      <c r="F124" s="455" t="s">
        <v>228</v>
      </c>
      <c r="G124" s="456"/>
      <c r="H124" s="457" t="s">
        <v>229</v>
      </c>
      <c r="I124" s="458"/>
      <c r="J124" s="457" t="s">
        <v>193</v>
      </c>
      <c r="K124" s="458"/>
      <c r="L124" s="457" t="s">
        <v>309</v>
      </c>
      <c r="M124" s="458"/>
      <c r="N124" s="455" t="s">
        <v>34</v>
      </c>
      <c r="O124" s="464"/>
      <c r="P124" s="465"/>
    </row>
    <row r="125" spans="1:16" ht="13.5" thickBot="1">
      <c r="A125" s="24"/>
      <c r="B125" s="160">
        <v>0.08</v>
      </c>
      <c r="C125" s="26" t="s">
        <v>29</v>
      </c>
      <c r="D125" s="160">
        <v>0.08</v>
      </c>
      <c r="E125" s="26" t="s">
        <v>29</v>
      </c>
      <c r="F125" s="160">
        <v>0.08</v>
      </c>
      <c r="G125" s="26" t="s">
        <v>29</v>
      </c>
      <c r="H125" s="160">
        <v>0.08</v>
      </c>
      <c r="I125" s="26" t="s">
        <v>29</v>
      </c>
      <c r="J125" s="160">
        <v>0.08</v>
      </c>
      <c r="K125" s="26" t="s">
        <v>29</v>
      </c>
      <c r="L125" s="160">
        <v>0.08</v>
      </c>
      <c r="M125" s="26" t="s">
        <v>29</v>
      </c>
      <c r="N125" s="160">
        <v>0.08</v>
      </c>
      <c r="O125" s="38" t="s">
        <v>29</v>
      </c>
      <c r="P125" s="28" t="s">
        <v>31</v>
      </c>
    </row>
    <row r="126" spans="1:16" ht="13.5" thickTop="1">
      <c r="A126" s="5"/>
      <c r="B126" s="30"/>
      <c r="C126" s="29"/>
      <c r="D126" s="30"/>
      <c r="E126" s="29"/>
      <c r="F126" s="30"/>
      <c r="G126" s="29"/>
      <c r="H126" s="30"/>
      <c r="I126" s="29"/>
      <c r="J126" s="30"/>
      <c r="K126" s="29"/>
      <c r="L126" s="30"/>
      <c r="M126" s="29"/>
      <c r="N126" s="30"/>
      <c r="O126" s="13"/>
      <c r="P126" s="54"/>
    </row>
    <row r="127" spans="1:16" ht="12.75">
      <c r="A127" s="5" t="s">
        <v>43</v>
      </c>
      <c r="B127" s="30"/>
      <c r="C127" s="29"/>
      <c r="D127" s="30"/>
      <c r="E127" s="29"/>
      <c r="F127" s="30"/>
      <c r="G127" s="29"/>
      <c r="H127" s="30"/>
      <c r="I127" s="29"/>
      <c r="J127" s="30"/>
      <c r="K127" s="29"/>
      <c r="L127" s="30"/>
      <c r="M127" s="29"/>
      <c r="N127" s="30">
        <f aca="true" t="shared" si="53" ref="N127:N140">B127+D127+F127+H127+J127+L127</f>
        <v>0</v>
      </c>
      <c r="O127" s="13">
        <f aca="true" t="shared" si="54" ref="O127:O140">C127+E127+G127+I127+K127+M127</f>
        <v>0</v>
      </c>
      <c r="P127" s="14"/>
    </row>
    <row r="128" spans="1:16" ht="12.75">
      <c r="A128" s="186">
        <v>1</v>
      </c>
      <c r="B128" s="30"/>
      <c r="C128" s="29"/>
      <c r="D128" s="30"/>
      <c r="E128" s="29"/>
      <c r="F128" s="30"/>
      <c r="G128" s="29"/>
      <c r="H128" s="30"/>
      <c r="I128" s="29"/>
      <c r="J128" s="30"/>
      <c r="K128" s="29"/>
      <c r="L128" s="30"/>
      <c r="M128" s="29"/>
      <c r="N128" s="30">
        <f t="shared" si="53"/>
        <v>0</v>
      </c>
      <c r="O128" s="13">
        <f t="shared" si="54"/>
        <v>0</v>
      </c>
      <c r="P128" s="14"/>
    </row>
    <row r="129" spans="1:16" ht="12.75">
      <c r="A129" s="186">
        <v>2</v>
      </c>
      <c r="B129" s="30"/>
      <c r="C129" s="29"/>
      <c r="D129" s="30"/>
      <c r="E129" s="29"/>
      <c r="F129" s="30"/>
      <c r="G129" s="29"/>
      <c r="H129" s="30"/>
      <c r="I129" s="29"/>
      <c r="J129" s="30"/>
      <c r="K129" s="29"/>
      <c r="L129" s="30"/>
      <c r="M129" s="29"/>
      <c r="N129" s="30">
        <f t="shared" si="53"/>
        <v>0</v>
      </c>
      <c r="O129" s="13">
        <f t="shared" si="54"/>
        <v>0</v>
      </c>
      <c r="P129" s="14"/>
    </row>
    <row r="130" spans="1:16" ht="12.75">
      <c r="A130" s="186">
        <v>3</v>
      </c>
      <c r="B130" s="30"/>
      <c r="C130" s="29"/>
      <c r="D130" s="30"/>
      <c r="E130" s="29"/>
      <c r="F130" s="30"/>
      <c r="G130" s="29"/>
      <c r="H130" s="30"/>
      <c r="I130" s="29"/>
      <c r="J130" s="30"/>
      <c r="K130" s="29"/>
      <c r="L130" s="30"/>
      <c r="M130" s="29"/>
      <c r="N130" s="30">
        <f t="shared" si="53"/>
        <v>0</v>
      </c>
      <c r="O130" s="13">
        <f t="shared" si="54"/>
        <v>0</v>
      </c>
      <c r="P130" s="14"/>
    </row>
    <row r="131" spans="1:16" ht="12.75">
      <c r="A131" s="186">
        <v>4</v>
      </c>
      <c r="B131" s="30"/>
      <c r="C131" s="29"/>
      <c r="D131" s="30"/>
      <c r="E131" s="29"/>
      <c r="F131" s="30"/>
      <c r="G131" s="29"/>
      <c r="H131" s="30"/>
      <c r="I131" s="29"/>
      <c r="J131" s="30"/>
      <c r="K131" s="29"/>
      <c r="L131" s="30"/>
      <c r="M131" s="29"/>
      <c r="N131" s="30">
        <f t="shared" si="53"/>
        <v>0</v>
      </c>
      <c r="O131" s="13">
        <f t="shared" si="54"/>
        <v>0</v>
      </c>
      <c r="P131" s="14"/>
    </row>
    <row r="132" spans="1:16" ht="12.75">
      <c r="A132" s="186">
        <v>5</v>
      </c>
      <c r="B132" s="30"/>
      <c r="C132" s="29"/>
      <c r="D132" s="30"/>
      <c r="E132" s="29"/>
      <c r="F132" s="30"/>
      <c r="G132" s="29"/>
      <c r="H132" s="30"/>
      <c r="I132" s="29"/>
      <c r="J132" s="30"/>
      <c r="K132" s="29"/>
      <c r="L132" s="30"/>
      <c r="M132" s="29"/>
      <c r="N132" s="30">
        <f t="shared" si="53"/>
        <v>0</v>
      </c>
      <c r="O132" s="13">
        <f t="shared" si="54"/>
        <v>0</v>
      </c>
      <c r="P132" s="14"/>
    </row>
    <row r="133" spans="1:16" ht="12.75">
      <c r="A133" s="186">
        <v>6</v>
      </c>
      <c r="B133" s="30"/>
      <c r="C133" s="29"/>
      <c r="D133" s="30"/>
      <c r="E133" s="29"/>
      <c r="F133" s="30"/>
      <c r="G133" s="29"/>
      <c r="H133" s="30"/>
      <c r="I133" s="29"/>
      <c r="J133" s="30"/>
      <c r="K133" s="29"/>
      <c r="L133" s="30"/>
      <c r="M133" s="29"/>
      <c r="N133" s="30">
        <f t="shared" si="53"/>
        <v>0</v>
      </c>
      <c r="O133" s="13">
        <f t="shared" si="54"/>
        <v>0</v>
      </c>
      <c r="P133" s="14"/>
    </row>
    <row r="134" spans="1:16" ht="12.75">
      <c r="A134" s="186">
        <v>7</v>
      </c>
      <c r="B134" s="30"/>
      <c r="C134" s="29"/>
      <c r="D134" s="30"/>
      <c r="E134" s="29"/>
      <c r="F134" s="30"/>
      <c r="G134" s="29"/>
      <c r="H134" s="30"/>
      <c r="I134" s="29"/>
      <c r="J134" s="30"/>
      <c r="K134" s="29"/>
      <c r="L134" s="30"/>
      <c r="M134" s="29"/>
      <c r="N134" s="30">
        <f t="shared" si="53"/>
        <v>0</v>
      </c>
      <c r="O134" s="13">
        <f t="shared" si="54"/>
        <v>0</v>
      </c>
      <c r="P134" s="14"/>
    </row>
    <row r="135" spans="1:16" ht="12.75">
      <c r="A135" s="186">
        <v>8</v>
      </c>
      <c r="B135" s="30"/>
      <c r="C135" s="29"/>
      <c r="D135" s="30"/>
      <c r="E135" s="29"/>
      <c r="F135" s="30"/>
      <c r="G135" s="29"/>
      <c r="H135" s="30"/>
      <c r="I135" s="29"/>
      <c r="J135" s="30"/>
      <c r="K135" s="29"/>
      <c r="L135" s="30"/>
      <c r="M135" s="29"/>
      <c r="N135" s="30">
        <f t="shared" si="53"/>
        <v>0</v>
      </c>
      <c r="O135" s="13">
        <f t="shared" si="54"/>
        <v>0</v>
      </c>
      <c r="P135" s="14"/>
    </row>
    <row r="136" spans="1:16" ht="12.75">
      <c r="A136" s="186">
        <v>9</v>
      </c>
      <c r="B136" s="30"/>
      <c r="C136" s="29"/>
      <c r="D136" s="30"/>
      <c r="E136" s="29"/>
      <c r="F136" s="30"/>
      <c r="G136" s="29"/>
      <c r="H136" s="30"/>
      <c r="I136" s="29"/>
      <c r="J136" s="30"/>
      <c r="K136" s="29"/>
      <c r="L136" s="30"/>
      <c r="M136" s="29"/>
      <c r="N136" s="30">
        <f t="shared" si="53"/>
        <v>0</v>
      </c>
      <c r="O136" s="13">
        <f t="shared" si="54"/>
        <v>0</v>
      </c>
      <c r="P136" s="14"/>
    </row>
    <row r="137" spans="1:16" ht="12.75">
      <c r="A137" s="186">
        <v>10</v>
      </c>
      <c r="B137" s="30"/>
      <c r="C137" s="29"/>
      <c r="D137" s="30"/>
      <c r="E137" s="29"/>
      <c r="F137" s="30"/>
      <c r="G137" s="29"/>
      <c r="H137" s="30"/>
      <c r="I137" s="29"/>
      <c r="J137" s="30"/>
      <c r="K137" s="29"/>
      <c r="L137" s="30"/>
      <c r="M137" s="29"/>
      <c r="N137" s="30">
        <f t="shared" si="53"/>
        <v>0</v>
      </c>
      <c r="O137" s="13">
        <f t="shared" si="54"/>
        <v>0</v>
      </c>
      <c r="P137" s="14"/>
    </row>
    <row r="138" spans="1:16" ht="12.75">
      <c r="A138" s="186">
        <v>11</v>
      </c>
      <c r="B138" s="30"/>
      <c r="C138" s="29"/>
      <c r="D138" s="30"/>
      <c r="E138" s="29"/>
      <c r="F138" s="30"/>
      <c r="G138" s="29"/>
      <c r="H138" s="30"/>
      <c r="I138" s="29"/>
      <c r="J138" s="30"/>
      <c r="K138" s="29"/>
      <c r="L138" s="30"/>
      <c r="M138" s="29"/>
      <c r="N138" s="30">
        <f t="shared" si="53"/>
        <v>0</v>
      </c>
      <c r="O138" s="13">
        <f t="shared" si="54"/>
        <v>0</v>
      </c>
      <c r="P138" s="14"/>
    </row>
    <row r="139" spans="1:16" ht="12.75">
      <c r="A139" s="186">
        <v>12</v>
      </c>
      <c r="B139" s="30"/>
      <c r="C139" s="29"/>
      <c r="D139" s="30"/>
      <c r="E139" s="29"/>
      <c r="F139" s="30"/>
      <c r="G139" s="29"/>
      <c r="H139" s="30"/>
      <c r="I139" s="29"/>
      <c r="J139" s="30"/>
      <c r="K139" s="29"/>
      <c r="L139" s="30"/>
      <c r="M139" s="29"/>
      <c r="N139" s="30">
        <f t="shared" si="53"/>
        <v>0</v>
      </c>
      <c r="O139" s="13">
        <f t="shared" si="54"/>
        <v>0</v>
      </c>
      <c r="P139" s="14"/>
    </row>
    <row r="140" spans="1:16" ht="13.5" thickBot="1">
      <c r="A140" s="5" t="s">
        <v>176</v>
      </c>
      <c r="B140" s="30"/>
      <c r="C140" s="29"/>
      <c r="D140" s="30"/>
      <c r="E140" s="29"/>
      <c r="F140" s="30"/>
      <c r="G140" s="29"/>
      <c r="H140" s="30"/>
      <c r="I140" s="29"/>
      <c r="J140" s="30"/>
      <c r="K140" s="29"/>
      <c r="L140" s="30"/>
      <c r="M140" s="29"/>
      <c r="N140" s="30">
        <f t="shared" si="53"/>
        <v>0</v>
      </c>
      <c r="O140" s="13">
        <f t="shared" si="54"/>
        <v>0</v>
      </c>
      <c r="P140" s="54"/>
    </row>
    <row r="141" spans="1:16" ht="13.5" thickBot="1">
      <c r="A141" s="177" t="s">
        <v>177</v>
      </c>
      <c r="B141" s="32">
        <f aca="true" t="shared" si="55" ref="B141:O141">SUM(B128:B139)</f>
        <v>0</v>
      </c>
      <c r="C141" s="32">
        <f t="shared" si="55"/>
        <v>0</v>
      </c>
      <c r="D141" s="32">
        <f t="shared" si="55"/>
        <v>0</v>
      </c>
      <c r="E141" s="32">
        <f t="shared" si="55"/>
        <v>0</v>
      </c>
      <c r="F141" s="32">
        <f t="shared" si="55"/>
        <v>0</v>
      </c>
      <c r="G141" s="32">
        <f t="shared" si="55"/>
        <v>0</v>
      </c>
      <c r="H141" s="32">
        <f t="shared" si="55"/>
        <v>0</v>
      </c>
      <c r="I141" s="32">
        <f t="shared" si="55"/>
        <v>0</v>
      </c>
      <c r="J141" s="32">
        <f t="shared" si="55"/>
        <v>0</v>
      </c>
      <c r="K141" s="32">
        <f t="shared" si="55"/>
        <v>0</v>
      </c>
      <c r="L141" s="32">
        <f>SUM(L128:L139)</f>
        <v>0</v>
      </c>
      <c r="M141" s="32">
        <f>SUM(M128:M139)</f>
        <v>0</v>
      </c>
      <c r="N141" s="32">
        <f t="shared" si="55"/>
        <v>0</v>
      </c>
      <c r="O141" s="32">
        <f t="shared" si="55"/>
        <v>0</v>
      </c>
      <c r="P141" s="33">
        <f>+N141-O141+N127-O127</f>
        <v>0</v>
      </c>
    </row>
    <row r="142" spans="1:1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6" ht="13.5" thickBot="1">
      <c r="A143" s="17" t="s">
        <v>214</v>
      </c>
      <c r="B143" s="3"/>
      <c r="C143" s="3"/>
      <c r="D143" s="3"/>
      <c r="E143" s="3"/>
      <c r="F143" s="3"/>
      <c r="G143" s="79"/>
      <c r="H143" s="79">
        <v>4638</v>
      </c>
      <c r="J143" s="17" t="s">
        <v>316</v>
      </c>
      <c r="K143" s="3"/>
      <c r="L143" s="3"/>
      <c r="M143" s="3"/>
      <c r="N143" s="3"/>
      <c r="O143" s="79"/>
      <c r="P143" s="235">
        <v>4635</v>
      </c>
    </row>
    <row r="144" spans="1:16" ht="12.75">
      <c r="A144" s="34"/>
      <c r="B144" s="19" t="s">
        <v>49</v>
      </c>
      <c r="C144" s="35">
        <v>0.1</v>
      </c>
      <c r="D144" s="35">
        <v>0.2</v>
      </c>
      <c r="E144" s="35" t="s">
        <v>34</v>
      </c>
      <c r="F144" s="182" t="s">
        <v>28</v>
      </c>
      <c r="G144" s="35" t="s">
        <v>29</v>
      </c>
      <c r="H144" s="23" t="s">
        <v>31</v>
      </c>
      <c r="J144" s="34"/>
      <c r="K144" s="19"/>
      <c r="L144" s="19" t="s">
        <v>319</v>
      </c>
      <c r="M144" s="35"/>
      <c r="N144" s="182" t="s">
        <v>28</v>
      </c>
      <c r="O144" s="35" t="s">
        <v>29</v>
      </c>
      <c r="P144" s="23" t="s">
        <v>31</v>
      </c>
    </row>
    <row r="145" spans="1:16" ht="13.5" thickBot="1">
      <c r="A145" s="37"/>
      <c r="B145" s="25"/>
      <c r="C145" s="25"/>
      <c r="D145" s="25"/>
      <c r="E145" s="25"/>
      <c r="F145" s="37"/>
      <c r="G145" s="25"/>
      <c r="H145" s="28"/>
      <c r="J145" s="37"/>
      <c r="K145" s="25" t="s">
        <v>321</v>
      </c>
      <c r="L145" s="25" t="s">
        <v>320</v>
      </c>
      <c r="M145" s="25" t="s">
        <v>119</v>
      </c>
      <c r="N145" s="37"/>
      <c r="O145" s="25"/>
      <c r="P145" s="28"/>
    </row>
    <row r="146" spans="1:16" ht="14.25" thickBot="1" thickTop="1">
      <c r="A146" s="2"/>
      <c r="B146" s="13"/>
      <c r="C146" s="13"/>
      <c r="D146" s="13"/>
      <c r="E146" s="13"/>
      <c r="F146" s="31"/>
      <c r="G146" s="13"/>
      <c r="H146" s="14"/>
      <c r="J146" s="2"/>
      <c r="K146" s="13"/>
      <c r="L146" s="13"/>
      <c r="M146" s="13"/>
      <c r="N146" s="31"/>
      <c r="O146" s="13"/>
      <c r="P146" s="14"/>
    </row>
    <row r="147" spans="1:16" ht="13.5" thickBot="1">
      <c r="A147" s="2"/>
      <c r="B147" s="13"/>
      <c r="C147" s="13"/>
      <c r="D147" s="13"/>
      <c r="E147" s="13"/>
      <c r="F147" s="31">
        <v>0</v>
      </c>
      <c r="G147" s="13"/>
      <c r="H147" s="14"/>
      <c r="J147" s="2"/>
      <c r="K147" s="313">
        <v>39888</v>
      </c>
      <c r="L147" s="312"/>
      <c r="M147" s="13"/>
      <c r="N147" s="31">
        <v>0</v>
      </c>
      <c r="O147" s="13"/>
      <c r="P147" s="14"/>
    </row>
    <row r="148" spans="1:16" ht="12.75">
      <c r="A148" s="187">
        <v>1</v>
      </c>
      <c r="B148" s="13"/>
      <c r="C148" s="13">
        <f aca="true" t="shared" si="56" ref="C148:C159">ROUND(B148*$C$144,0)</f>
        <v>0</v>
      </c>
      <c r="D148" s="13"/>
      <c r="E148" s="13">
        <f>+C148+D148</f>
        <v>0</v>
      </c>
      <c r="F148" s="31">
        <f aca="true" t="shared" si="57" ref="F148:F159">IF(E148=" ",0,ROUND(E148/1000,0)*1000)</f>
        <v>0</v>
      </c>
      <c r="G148" s="13"/>
      <c r="H148" s="14"/>
      <c r="J148" s="187">
        <v>1</v>
      </c>
      <c r="K148" s="217"/>
      <c r="L148" s="269">
        <f aca="true" t="shared" si="58" ref="L148:L153">+IF($K148=0,0,$L$147/6)</f>
        <v>0</v>
      </c>
      <c r="M148" s="221"/>
      <c r="N148" s="31"/>
      <c r="O148" s="13"/>
      <c r="P148" s="14"/>
    </row>
    <row r="149" spans="1:16" ht="12.75">
      <c r="A149" s="187">
        <v>2</v>
      </c>
      <c r="B149" s="13"/>
      <c r="C149" s="13">
        <f t="shared" si="56"/>
        <v>0</v>
      </c>
      <c r="D149" s="13"/>
      <c r="E149" s="13">
        <f aca="true" t="shared" si="59" ref="E149:E159">+C149+D149</f>
        <v>0</v>
      </c>
      <c r="F149" s="31">
        <f t="shared" si="57"/>
        <v>0</v>
      </c>
      <c r="G149" s="13"/>
      <c r="H149" s="14"/>
      <c r="J149" s="187">
        <v>2</v>
      </c>
      <c r="K149" s="30"/>
      <c r="L149" s="29">
        <f t="shared" si="58"/>
        <v>0</v>
      </c>
      <c r="M149" s="222"/>
      <c r="N149" s="31"/>
      <c r="O149" s="13"/>
      <c r="P149" s="14"/>
    </row>
    <row r="150" spans="1:16" ht="12.75">
      <c r="A150" s="187">
        <v>3</v>
      </c>
      <c r="B150" s="13"/>
      <c r="C150" s="13">
        <f t="shared" si="56"/>
        <v>0</v>
      </c>
      <c r="D150" s="13"/>
      <c r="E150" s="13">
        <f t="shared" si="59"/>
        <v>0</v>
      </c>
      <c r="F150" s="31">
        <f t="shared" si="57"/>
        <v>0</v>
      </c>
      <c r="G150" s="13"/>
      <c r="H150" s="14"/>
      <c r="J150" s="187">
        <v>3</v>
      </c>
      <c r="K150" s="157"/>
      <c r="L150" s="158">
        <f t="shared" si="58"/>
        <v>0</v>
      </c>
      <c r="M150" s="208">
        <f>+K150+K149+K148-L148-L149-L150</f>
        <v>0</v>
      </c>
      <c r="N150" s="31">
        <f>ROUND((M150)/1000,0)*1000</f>
        <v>0</v>
      </c>
      <c r="O150" s="13"/>
      <c r="P150" s="14"/>
    </row>
    <row r="151" spans="1:16" ht="12.75">
      <c r="A151" s="187">
        <v>4</v>
      </c>
      <c r="B151" s="13"/>
      <c r="C151" s="13">
        <f t="shared" si="56"/>
        <v>0</v>
      </c>
      <c r="D151" s="13"/>
      <c r="E151" s="13">
        <f t="shared" si="59"/>
        <v>0</v>
      </c>
      <c r="F151" s="31">
        <f t="shared" si="57"/>
        <v>0</v>
      </c>
      <c r="G151" s="13"/>
      <c r="H151" s="14"/>
      <c r="J151" s="187">
        <v>4</v>
      </c>
      <c r="K151" s="217"/>
      <c r="L151" s="269">
        <f t="shared" si="58"/>
        <v>0</v>
      </c>
      <c r="M151" s="221"/>
      <c r="N151" s="31"/>
      <c r="O151" s="13"/>
      <c r="P151" s="14"/>
    </row>
    <row r="152" spans="1:16" ht="12.75">
      <c r="A152" s="187">
        <v>5</v>
      </c>
      <c r="B152" s="13"/>
      <c r="C152" s="13">
        <f t="shared" si="56"/>
        <v>0</v>
      </c>
      <c r="D152" s="13"/>
      <c r="E152" s="13">
        <f t="shared" si="59"/>
        <v>0</v>
      </c>
      <c r="F152" s="31">
        <f t="shared" si="57"/>
        <v>0</v>
      </c>
      <c r="G152" s="13"/>
      <c r="H152" s="14"/>
      <c r="J152" s="187">
        <v>5</v>
      </c>
      <c r="K152" s="30"/>
      <c r="L152" s="29">
        <f t="shared" si="58"/>
        <v>0</v>
      </c>
      <c r="M152" s="222"/>
      <c r="N152" s="31"/>
      <c r="O152" s="13"/>
      <c r="P152" s="14"/>
    </row>
    <row r="153" spans="1:16" ht="12.75">
      <c r="A153" s="187">
        <v>6</v>
      </c>
      <c r="B153" s="13"/>
      <c r="C153" s="13">
        <f t="shared" si="56"/>
        <v>0</v>
      </c>
      <c r="D153" s="13"/>
      <c r="E153" s="13">
        <f t="shared" si="59"/>
        <v>0</v>
      </c>
      <c r="F153" s="31">
        <f t="shared" si="57"/>
        <v>0</v>
      </c>
      <c r="G153" s="13"/>
      <c r="H153" s="14"/>
      <c r="J153" s="187">
        <v>6</v>
      </c>
      <c r="K153" s="157"/>
      <c r="L153" s="158">
        <f t="shared" si="58"/>
        <v>0</v>
      </c>
      <c r="M153" s="208">
        <f>+K153+K152+K151-L151-L152-L153</f>
        <v>0</v>
      </c>
      <c r="N153" s="31">
        <f>ROUND((M153)/1000,0)*1000</f>
        <v>0</v>
      </c>
      <c r="O153" s="13"/>
      <c r="P153" s="14"/>
    </row>
    <row r="154" spans="1:16" ht="12.75">
      <c r="A154" s="187">
        <v>7</v>
      </c>
      <c r="B154" s="13"/>
      <c r="C154" s="13">
        <f t="shared" si="56"/>
        <v>0</v>
      </c>
      <c r="D154" s="13"/>
      <c r="E154" s="13">
        <f t="shared" si="59"/>
        <v>0</v>
      </c>
      <c r="F154" s="31">
        <f t="shared" si="57"/>
        <v>0</v>
      </c>
      <c r="G154" s="13"/>
      <c r="H154" s="14"/>
      <c r="J154" s="187">
        <v>7</v>
      </c>
      <c r="K154" s="217"/>
      <c r="L154" s="269">
        <f aca="true" t="shared" si="60" ref="L154:L159">+IF($K154=0,0,$L$160/6)</f>
        <v>0</v>
      </c>
      <c r="M154" s="221"/>
      <c r="N154" s="31"/>
      <c r="O154" s="13"/>
      <c r="P154" s="14"/>
    </row>
    <row r="155" spans="1:16" ht="12.75">
      <c r="A155" s="187">
        <v>8</v>
      </c>
      <c r="B155" s="13"/>
      <c r="C155" s="13">
        <f t="shared" si="56"/>
        <v>0</v>
      </c>
      <c r="D155" s="13"/>
      <c r="E155" s="13">
        <f t="shared" si="59"/>
        <v>0</v>
      </c>
      <c r="F155" s="31">
        <f t="shared" si="57"/>
        <v>0</v>
      </c>
      <c r="G155" s="13"/>
      <c r="H155" s="14"/>
      <c r="J155" s="187">
        <v>8</v>
      </c>
      <c r="K155" s="30"/>
      <c r="L155" s="29">
        <f t="shared" si="60"/>
        <v>0</v>
      </c>
      <c r="M155" s="222"/>
      <c r="N155" s="31"/>
      <c r="O155" s="13"/>
      <c r="P155" s="14"/>
    </row>
    <row r="156" spans="1:16" ht="12.75">
      <c r="A156" s="187">
        <v>9</v>
      </c>
      <c r="B156" s="13"/>
      <c r="C156" s="13">
        <f t="shared" si="56"/>
        <v>0</v>
      </c>
      <c r="D156" s="13"/>
      <c r="E156" s="13">
        <f t="shared" si="59"/>
        <v>0</v>
      </c>
      <c r="F156" s="31">
        <f t="shared" si="57"/>
        <v>0</v>
      </c>
      <c r="G156" s="13"/>
      <c r="H156" s="14"/>
      <c r="J156" s="187">
        <v>9</v>
      </c>
      <c r="K156" s="157"/>
      <c r="L156" s="29">
        <f t="shared" si="60"/>
        <v>0</v>
      </c>
      <c r="M156" s="208">
        <f>+K156+K155+K154-L154-L155-L156</f>
        <v>0</v>
      </c>
      <c r="N156" s="31">
        <f>ROUND((M156)/1000,0)*1000</f>
        <v>0</v>
      </c>
      <c r="O156" s="13"/>
      <c r="P156" s="14"/>
    </row>
    <row r="157" spans="1:16" ht="12.75">
      <c r="A157" s="187">
        <v>10</v>
      </c>
      <c r="B157" s="13"/>
      <c r="C157" s="13">
        <f t="shared" si="56"/>
        <v>0</v>
      </c>
      <c r="D157" s="13"/>
      <c r="E157" s="13">
        <f t="shared" si="59"/>
        <v>0</v>
      </c>
      <c r="F157" s="31">
        <f t="shared" si="57"/>
        <v>0</v>
      </c>
      <c r="G157" s="13"/>
      <c r="H157" s="14"/>
      <c r="J157" s="187">
        <v>10</v>
      </c>
      <c r="K157" s="217"/>
      <c r="L157" s="269">
        <f t="shared" si="60"/>
        <v>0</v>
      </c>
      <c r="M157" s="221"/>
      <c r="N157" s="31"/>
      <c r="O157" s="13"/>
      <c r="P157" s="14"/>
    </row>
    <row r="158" spans="1:16" ht="12.75">
      <c r="A158" s="187">
        <v>11</v>
      </c>
      <c r="B158" s="13"/>
      <c r="C158" s="13">
        <f t="shared" si="56"/>
        <v>0</v>
      </c>
      <c r="D158" s="13"/>
      <c r="E158" s="13">
        <f t="shared" si="59"/>
        <v>0</v>
      </c>
      <c r="F158" s="31">
        <f t="shared" si="57"/>
        <v>0</v>
      </c>
      <c r="G158" s="13"/>
      <c r="H158" s="14"/>
      <c r="J158" s="187">
        <v>11</v>
      </c>
      <c r="K158" s="30"/>
      <c r="L158" s="29">
        <f t="shared" si="60"/>
        <v>0</v>
      </c>
      <c r="M158" s="222"/>
      <c r="N158" s="31"/>
      <c r="O158" s="13"/>
      <c r="P158" s="14"/>
    </row>
    <row r="159" spans="1:16" ht="13.5" thickBot="1">
      <c r="A159" s="187">
        <v>12</v>
      </c>
      <c r="B159" s="13"/>
      <c r="C159" s="13">
        <f t="shared" si="56"/>
        <v>0</v>
      </c>
      <c r="D159" s="13"/>
      <c r="E159" s="13">
        <f t="shared" si="59"/>
        <v>0</v>
      </c>
      <c r="F159" s="31">
        <f t="shared" si="57"/>
        <v>0</v>
      </c>
      <c r="G159" s="13"/>
      <c r="H159" s="14"/>
      <c r="J159" s="187">
        <v>12</v>
      </c>
      <c r="K159" s="157"/>
      <c r="L159" s="29">
        <f t="shared" si="60"/>
        <v>0</v>
      </c>
      <c r="M159" s="208">
        <f>+K159+K158+K157-L157-L158-L159</f>
        <v>0</v>
      </c>
      <c r="N159" s="31">
        <f>ROUND((M159)/1000,0)*1000</f>
        <v>0</v>
      </c>
      <c r="O159" s="13"/>
      <c r="P159" s="14"/>
    </row>
    <row r="160" spans="1:16" ht="13.5" thickBot="1">
      <c r="A160" s="2"/>
      <c r="B160" s="13"/>
      <c r="C160" s="13"/>
      <c r="D160" s="13"/>
      <c r="E160" s="13"/>
      <c r="F160" s="31">
        <f>IF(F161-E161&lt;500,F161-E161,F161-E161)</f>
        <v>0</v>
      </c>
      <c r="G160" s="13"/>
      <c r="H160" s="14"/>
      <c r="J160" s="2"/>
      <c r="K160" s="313">
        <v>40071</v>
      </c>
      <c r="L160" s="312"/>
      <c r="M160" s="13"/>
      <c r="N160" s="31">
        <f>IF(N161-M161&lt;500,N161-M161,N161-M161)</f>
        <v>0</v>
      </c>
      <c r="O160" s="13"/>
      <c r="P160" s="14"/>
    </row>
    <row r="161" spans="1:16" ht="13.5" thickBot="1">
      <c r="A161" s="45" t="s">
        <v>34</v>
      </c>
      <c r="B161" s="32">
        <f>SUM(B147:B159)</f>
        <v>0</v>
      </c>
      <c r="C161" s="32"/>
      <c r="D161" s="32"/>
      <c r="E161" s="53">
        <f>SUM(E147:E160)</f>
        <v>0</v>
      </c>
      <c r="F161" s="41">
        <f>SUM(F148:F159)</f>
        <v>0</v>
      </c>
      <c r="G161" s="53">
        <f>SUM(G148:G160)</f>
        <v>0</v>
      </c>
      <c r="H161" s="33">
        <f>+E161-G161+F147-G147</f>
        <v>0</v>
      </c>
      <c r="I161" s="101"/>
      <c r="J161" s="45" t="s">
        <v>34</v>
      </c>
      <c r="K161" s="32"/>
      <c r="L161" s="311"/>
      <c r="M161" s="53">
        <f>SUM(M147:M160)</f>
        <v>0</v>
      </c>
      <c r="N161" s="41">
        <f>SUM(N148:N159)</f>
        <v>0</v>
      </c>
      <c r="O161" s="53">
        <f>SUM(O148:O160)</f>
        <v>0</v>
      </c>
      <c r="P161" s="33">
        <f>+M161-O161+N147-O147</f>
        <v>0</v>
      </c>
    </row>
    <row r="162" spans="1:1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3.5" thickBot="1">
      <c r="A163" s="17" t="s">
        <v>270</v>
      </c>
      <c r="B163" s="3"/>
      <c r="C163" s="3"/>
      <c r="D163" s="3"/>
      <c r="E163" s="3"/>
      <c r="F163" s="79"/>
      <c r="H163" s="3"/>
      <c r="I163" s="17" t="s">
        <v>391</v>
      </c>
      <c r="J163" s="3"/>
      <c r="K163" s="3"/>
      <c r="L163" s="3"/>
      <c r="M163" s="3"/>
      <c r="N163" s="79"/>
      <c r="O163">
        <v>4639</v>
      </c>
    </row>
    <row r="164" spans="1:15" ht="12.75">
      <c r="A164" s="34"/>
      <c r="B164" s="19" t="s">
        <v>272</v>
      </c>
      <c r="C164" s="35" t="s">
        <v>20</v>
      </c>
      <c r="D164" s="182" t="s">
        <v>271</v>
      </c>
      <c r="E164" s="462" t="s">
        <v>382</v>
      </c>
      <c r="F164" s="462"/>
      <c r="G164" s="463"/>
      <c r="H164" s="3"/>
      <c r="I164" s="34" t="s">
        <v>286</v>
      </c>
      <c r="J164" s="19"/>
      <c r="K164" s="35"/>
      <c r="L164" s="182"/>
      <c r="M164" s="462"/>
      <c r="N164" s="462"/>
      <c r="O164" s="463"/>
    </row>
    <row r="165" spans="1:15" ht="13.5" thickBot="1">
      <c r="A165" s="37"/>
      <c r="B165" s="25" t="s">
        <v>273</v>
      </c>
      <c r="C165" s="38">
        <v>0.54</v>
      </c>
      <c r="D165" s="223">
        <v>0.24</v>
      </c>
      <c r="E165" s="295">
        <v>0.015</v>
      </c>
      <c r="F165" s="295">
        <v>0.005</v>
      </c>
      <c r="G165" s="257">
        <v>0.01</v>
      </c>
      <c r="H165" s="3"/>
      <c r="I165" s="37" t="s">
        <v>394</v>
      </c>
      <c r="J165" s="25" t="s">
        <v>392</v>
      </c>
      <c r="K165" s="38"/>
      <c r="L165" s="223" t="s">
        <v>48</v>
      </c>
      <c r="M165" s="295" t="s">
        <v>393</v>
      </c>
      <c r="N165" s="295" t="s">
        <v>29</v>
      </c>
      <c r="O165" s="257" t="s">
        <v>27</v>
      </c>
    </row>
    <row r="166" spans="1:15" ht="13.5" thickTop="1">
      <c r="A166" s="2"/>
      <c r="B166" s="13"/>
      <c r="C166" s="13"/>
      <c r="D166" s="31"/>
      <c r="E166" s="13"/>
      <c r="F166" s="13"/>
      <c r="G166" s="14"/>
      <c r="H166" s="3"/>
      <c r="I166" s="2"/>
      <c r="J166" s="13"/>
      <c r="K166" s="13"/>
      <c r="L166" s="31"/>
      <c r="M166" s="13"/>
      <c r="N166" s="13"/>
      <c r="O166" s="14"/>
    </row>
    <row r="167" spans="1:15" ht="13.5" thickBot="1">
      <c r="A167" s="2"/>
      <c r="B167" s="13"/>
      <c r="C167" s="13"/>
      <c r="D167" s="31"/>
      <c r="E167" s="13"/>
      <c r="F167" s="13"/>
      <c r="G167" s="14"/>
      <c r="H167" s="3"/>
      <c r="I167" s="2"/>
      <c r="J167" s="13"/>
      <c r="K167" s="13"/>
      <c r="L167" s="31"/>
      <c r="M167" s="13"/>
      <c r="N167" s="13"/>
      <c r="O167" s="14"/>
    </row>
    <row r="168" spans="1:15" ht="12.75">
      <c r="A168" s="187">
        <v>1</v>
      </c>
      <c r="B168" s="13">
        <f>+Telefon!J12</f>
        <v>0</v>
      </c>
      <c r="C168" s="13">
        <f>Telefon!E14</f>
        <v>0</v>
      </c>
      <c r="D168" s="31">
        <f>Telefon!E16</f>
        <v>0</v>
      </c>
      <c r="E168" s="13">
        <f>Telefon!E17</f>
        <v>0</v>
      </c>
      <c r="F168" s="13">
        <f>Telefon!E18</f>
        <v>0</v>
      </c>
      <c r="G168" s="54">
        <f>Telefon!E19</f>
        <v>0</v>
      </c>
      <c r="H168" s="3"/>
      <c r="I168" s="418" t="s">
        <v>396</v>
      </c>
      <c r="J168" s="165" t="s">
        <v>395</v>
      </c>
      <c r="K168" s="165"/>
      <c r="L168" s="218">
        <v>0</v>
      </c>
      <c r="M168" s="165"/>
      <c r="N168" s="165">
        <v>0</v>
      </c>
      <c r="O168" s="220"/>
    </row>
    <row r="169" spans="1:15" ht="13.5" thickBot="1">
      <c r="A169" s="187">
        <v>2</v>
      </c>
      <c r="B169" s="13">
        <f>Telefon!J31</f>
        <v>0</v>
      </c>
      <c r="C169" s="13">
        <f>Telefon!E33</f>
        <v>0</v>
      </c>
      <c r="D169" s="31">
        <f>Telefon!E35</f>
        <v>0</v>
      </c>
      <c r="E169" s="13">
        <f>+Telefon!E36</f>
        <v>0</v>
      </c>
      <c r="F169" s="13">
        <f>+Telefon!E37</f>
        <v>0</v>
      </c>
      <c r="G169" s="54">
        <f>+Telefon!E38</f>
        <v>0</v>
      </c>
      <c r="H169" s="3"/>
      <c r="I169" s="419"/>
      <c r="J169" s="168" t="s">
        <v>275</v>
      </c>
      <c r="K169" s="311"/>
      <c r="L169" s="420"/>
      <c r="M169" s="311"/>
      <c r="N169" s="311"/>
      <c r="O169" s="291">
        <f>+L168+M168-N168</f>
        <v>0</v>
      </c>
    </row>
    <row r="170" spans="1:15" ht="12.75">
      <c r="A170" s="187">
        <v>3</v>
      </c>
      <c r="B170" s="13">
        <f>Telefon!J50</f>
        <v>0</v>
      </c>
      <c r="C170" s="13">
        <f>Telefon!E52</f>
        <v>0</v>
      </c>
      <c r="D170" s="31">
        <f>+Telefon!E54</f>
        <v>0</v>
      </c>
      <c r="E170" s="13">
        <f>+Telefon!E55</f>
        <v>0</v>
      </c>
      <c r="F170" s="13">
        <f>+Telefon!E56</f>
        <v>0</v>
      </c>
      <c r="G170" s="54">
        <f>+Telefon!E57</f>
        <v>0</v>
      </c>
      <c r="H170" s="3"/>
      <c r="I170" s="418" t="s">
        <v>397</v>
      </c>
      <c r="J170" s="165" t="s">
        <v>398</v>
      </c>
      <c r="K170" s="165"/>
      <c r="L170" s="218">
        <v>0</v>
      </c>
      <c r="M170" s="165"/>
      <c r="N170" s="165">
        <v>0</v>
      </c>
      <c r="O170" s="220"/>
    </row>
    <row r="171" spans="1:15" ht="13.5" thickBot="1">
      <c r="A171" s="187">
        <v>4</v>
      </c>
      <c r="B171" s="13">
        <f>Telefon!J69</f>
        <v>0</v>
      </c>
      <c r="C171" s="13">
        <f>Telefon!E71</f>
        <v>0</v>
      </c>
      <c r="D171" s="31">
        <f>Telefon!E73</f>
        <v>0</v>
      </c>
      <c r="E171" s="13">
        <f>+Telefon!E74</f>
        <v>0</v>
      </c>
      <c r="F171" s="13">
        <f>+Telefon!E75</f>
        <v>0</v>
      </c>
      <c r="G171" s="54">
        <f>+Telefon!E76</f>
        <v>0</v>
      </c>
      <c r="H171" s="3"/>
      <c r="I171" s="419"/>
      <c r="J171" s="311" t="s">
        <v>276</v>
      </c>
      <c r="K171" s="311"/>
      <c r="L171" s="420"/>
      <c r="M171" s="311"/>
      <c r="N171" s="311"/>
      <c r="O171" s="291">
        <f>+L170+M170-N170</f>
        <v>0</v>
      </c>
    </row>
    <row r="172" spans="1:15" ht="12.75">
      <c r="A172" s="187">
        <v>5</v>
      </c>
      <c r="B172" s="13">
        <f>Telefon!J88</f>
        <v>0</v>
      </c>
      <c r="C172" s="13">
        <f>+Telefon!E90</f>
        <v>0</v>
      </c>
      <c r="D172" s="31">
        <f>+Telefon!E92</f>
        <v>0</v>
      </c>
      <c r="E172" s="13">
        <f>+Telefon!E93</f>
        <v>0</v>
      </c>
      <c r="F172" s="13">
        <f>+Telefon!E94</f>
        <v>0</v>
      </c>
      <c r="G172" s="54">
        <f>+Telefon!E95</f>
        <v>0</v>
      </c>
      <c r="H172" s="3"/>
      <c r="I172" s="418" t="s">
        <v>399</v>
      </c>
      <c r="J172" s="165" t="s">
        <v>11</v>
      </c>
      <c r="K172" s="165"/>
      <c r="L172" s="218">
        <v>0</v>
      </c>
      <c r="M172" s="165"/>
      <c r="N172" s="165">
        <v>0</v>
      </c>
      <c r="O172" s="220"/>
    </row>
    <row r="173" spans="1:15" ht="13.5" thickBot="1">
      <c r="A173" s="187">
        <v>6</v>
      </c>
      <c r="B173" s="13">
        <f>Telefon!J107</f>
        <v>0</v>
      </c>
      <c r="C173" s="13">
        <f>+Telefon!E109</f>
        <v>0</v>
      </c>
      <c r="D173" s="31">
        <f>+Telefon!E111</f>
        <v>0</v>
      </c>
      <c r="E173" s="13">
        <f>+Telefon!E112</f>
        <v>0</v>
      </c>
      <c r="F173" s="13">
        <f>+Telefon!E113</f>
        <v>0</v>
      </c>
      <c r="G173" s="54">
        <f>+Telefon!E114</f>
        <v>0</v>
      </c>
      <c r="H173" s="3"/>
      <c r="I173" s="419"/>
      <c r="J173" s="311" t="s">
        <v>130</v>
      </c>
      <c r="K173" s="311"/>
      <c r="L173" s="420"/>
      <c r="M173" s="311"/>
      <c r="N173" s="311"/>
      <c r="O173" s="291">
        <f>+L172+M172-N172</f>
        <v>0</v>
      </c>
    </row>
    <row r="174" spans="1:15" ht="12.75">
      <c r="A174" s="187">
        <v>7</v>
      </c>
      <c r="B174" s="13">
        <f>Telefon!J126</f>
        <v>0</v>
      </c>
      <c r="C174" s="13">
        <f>+Telefon!E128</f>
        <v>0</v>
      </c>
      <c r="D174" s="31">
        <f>+Telefon!E130</f>
        <v>0</v>
      </c>
      <c r="E174" s="13">
        <f>+Telefon!E131</f>
        <v>0</v>
      </c>
      <c r="F174" s="13">
        <f>+Telefon!E132</f>
        <v>0</v>
      </c>
      <c r="G174" s="54">
        <f>+Telefon!E133</f>
        <v>0</v>
      </c>
      <c r="H174" s="3"/>
      <c r="I174" s="418" t="s">
        <v>400</v>
      </c>
      <c r="J174" s="165" t="s">
        <v>12</v>
      </c>
      <c r="K174" s="165"/>
      <c r="L174" s="218">
        <v>0</v>
      </c>
      <c r="M174" s="165"/>
      <c r="N174" s="165">
        <v>0</v>
      </c>
      <c r="O174" s="220"/>
    </row>
    <row r="175" spans="1:15" ht="13.5" thickBot="1">
      <c r="A175" s="187">
        <v>8</v>
      </c>
      <c r="B175" s="13">
        <f>Telefon!J145</f>
        <v>0</v>
      </c>
      <c r="C175" s="13">
        <f>+Telefon!E147</f>
        <v>0</v>
      </c>
      <c r="D175" s="31">
        <f>+Telefon!E149</f>
        <v>0</v>
      </c>
      <c r="E175" s="13">
        <f>+Telefon!E150</f>
        <v>0</v>
      </c>
      <c r="F175" s="13">
        <f>+Telefon!E151</f>
        <v>0</v>
      </c>
      <c r="G175" s="54">
        <f>+Telefon!E152</f>
        <v>0</v>
      </c>
      <c r="H175" s="3"/>
      <c r="I175" s="419"/>
      <c r="J175" s="311" t="s">
        <v>131</v>
      </c>
      <c r="K175" s="311"/>
      <c r="L175" s="420"/>
      <c r="M175" s="311"/>
      <c r="N175" s="311"/>
      <c r="O175" s="291">
        <f>+L174+M174-N174</f>
        <v>0</v>
      </c>
    </row>
    <row r="176" spans="1:15" ht="12.75">
      <c r="A176" s="187">
        <v>9</v>
      </c>
      <c r="B176" s="13">
        <f>Telefon!J164</f>
        <v>0</v>
      </c>
      <c r="C176" s="13">
        <f>+Telefon!E166</f>
        <v>0</v>
      </c>
      <c r="D176" s="31">
        <f>+Telefon!E168</f>
        <v>0</v>
      </c>
      <c r="E176" s="13">
        <f>+Telefon!E169</f>
        <v>0</v>
      </c>
      <c r="F176" s="13">
        <f>+Telefon!E170</f>
        <v>0</v>
      </c>
      <c r="G176" s="54">
        <f>+Telefon!E171</f>
        <v>0</v>
      </c>
      <c r="H176" s="3"/>
      <c r="I176" s="418" t="s">
        <v>401</v>
      </c>
      <c r="J176" s="165" t="s">
        <v>280</v>
      </c>
      <c r="K176" s="165"/>
      <c r="L176" s="218">
        <v>0</v>
      </c>
      <c r="M176" s="165"/>
      <c r="N176" s="165">
        <v>0</v>
      </c>
      <c r="O176" s="220"/>
    </row>
    <row r="177" spans="1:15" ht="13.5" thickBot="1">
      <c r="A177" s="187">
        <v>10</v>
      </c>
      <c r="B177" s="13">
        <f>Telefon!J183</f>
        <v>0</v>
      </c>
      <c r="C177" s="13">
        <f>+Telefon!E185</f>
        <v>0</v>
      </c>
      <c r="D177" s="31">
        <f>+Telefon!E187</f>
        <v>0</v>
      </c>
      <c r="E177" s="13">
        <f>+Telefon!E188</f>
        <v>0</v>
      </c>
      <c r="F177" s="13">
        <f>+Telefon!E189</f>
        <v>0</v>
      </c>
      <c r="G177" s="54">
        <f>+Telefon!E190</f>
        <v>0</v>
      </c>
      <c r="H177" s="3"/>
      <c r="I177" s="419"/>
      <c r="J177" s="311" t="s">
        <v>211</v>
      </c>
      <c r="K177" s="311"/>
      <c r="L177" s="420"/>
      <c r="M177" s="311"/>
      <c r="N177" s="311"/>
      <c r="O177" s="291">
        <f>+L176+M176-N176</f>
        <v>0</v>
      </c>
    </row>
    <row r="178" spans="1:15" ht="12.75">
      <c r="A178" s="187">
        <v>11</v>
      </c>
      <c r="B178" s="13">
        <f>Telefon!J202</f>
        <v>0</v>
      </c>
      <c r="C178" s="13">
        <f>+Telefon!E204</f>
        <v>0</v>
      </c>
      <c r="D178" s="31">
        <f>+Telefon!E206</f>
        <v>0</v>
      </c>
      <c r="E178" s="13">
        <f>+Telefon!E207</f>
        <v>0</v>
      </c>
      <c r="F178" s="13">
        <f>+Telefon!E208</f>
        <v>0</v>
      </c>
      <c r="G178" s="54">
        <f>+Telefon!E209</f>
        <v>0</v>
      </c>
      <c r="H178" s="3"/>
      <c r="I178" s="418"/>
      <c r="J178" s="165"/>
      <c r="K178" s="165"/>
      <c r="L178" s="218"/>
      <c r="M178" s="165"/>
      <c r="N178" s="165"/>
      <c r="O178" s="220"/>
    </row>
    <row r="179" spans="1:15" ht="13.5" thickBot="1">
      <c r="A179" s="187">
        <v>12</v>
      </c>
      <c r="B179" s="13">
        <f>Telefon!J221</f>
        <v>0</v>
      </c>
      <c r="C179" s="13">
        <f>+Telefon!E223</f>
        <v>0</v>
      </c>
      <c r="D179" s="31">
        <f>+Telefon!E225</f>
        <v>0</v>
      </c>
      <c r="E179" s="13">
        <f>+Telefon!E226</f>
        <v>0</v>
      </c>
      <c r="F179" s="13">
        <f>+Telefon!E227</f>
        <v>0</v>
      </c>
      <c r="G179" s="54">
        <f>+Telefon!E228</f>
        <v>0</v>
      </c>
      <c r="H179" s="3"/>
      <c r="I179" s="419"/>
      <c r="J179" s="311"/>
      <c r="K179" s="311"/>
      <c r="L179" s="420"/>
      <c r="M179" s="311"/>
      <c r="N179" s="311"/>
      <c r="O179" s="291"/>
    </row>
    <row r="180" spans="1:15" ht="12.75">
      <c r="A180" s="2"/>
      <c r="B180" s="13"/>
      <c r="C180" s="13"/>
      <c r="D180" s="31"/>
      <c r="E180" s="13"/>
      <c r="F180" s="13"/>
      <c r="G180" s="54"/>
      <c r="H180" s="3"/>
      <c r="I180" s="2"/>
      <c r="J180" s="13"/>
      <c r="K180" s="13"/>
      <c r="L180" s="31"/>
      <c r="M180" s="13"/>
      <c r="N180" s="13"/>
      <c r="O180" s="54"/>
    </row>
    <row r="181" spans="1:15" ht="13.5" thickBot="1">
      <c r="A181" s="45" t="s">
        <v>34</v>
      </c>
      <c r="B181" s="32">
        <f aca="true" t="shared" si="61" ref="B181:G181">SUM(B167:B179)</f>
        <v>0</v>
      </c>
      <c r="C181" s="32">
        <f t="shared" si="61"/>
        <v>0</v>
      </c>
      <c r="D181" s="32">
        <f t="shared" si="61"/>
        <v>0</v>
      </c>
      <c r="E181" s="32">
        <f t="shared" si="61"/>
        <v>0</v>
      </c>
      <c r="F181" s="32">
        <f>SUM(F167:F179)</f>
        <v>0</v>
      </c>
      <c r="G181" s="209">
        <f t="shared" si="61"/>
        <v>0</v>
      </c>
      <c r="H181" s="3"/>
      <c r="I181" s="45" t="s">
        <v>34</v>
      </c>
      <c r="J181" s="32"/>
      <c r="K181" s="32"/>
      <c r="L181" s="32">
        <f>SUM(L167:L179)</f>
        <v>0</v>
      </c>
      <c r="M181" s="32">
        <f>SUM(M167:M179)</f>
        <v>0</v>
      </c>
      <c r="N181" s="32">
        <f>SUM(N167:N179)</f>
        <v>0</v>
      </c>
      <c r="O181" s="209">
        <f>SUM(O167:O179)</f>
        <v>0</v>
      </c>
    </row>
    <row r="182" spans="1:1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</sheetData>
  <sheetProtection/>
  <mergeCells count="14">
    <mergeCell ref="A2:P2"/>
    <mergeCell ref="I103:J103"/>
    <mergeCell ref="B124:C124"/>
    <mergeCell ref="J124:K124"/>
    <mergeCell ref="D124:E124"/>
    <mergeCell ref="F124:G124"/>
    <mergeCell ref="H124:I124"/>
    <mergeCell ref="L124:M124"/>
    <mergeCell ref="C23:K23"/>
    <mergeCell ref="E164:G164"/>
    <mergeCell ref="M164:O164"/>
    <mergeCell ref="N124:P124"/>
    <mergeCell ref="G64:H64"/>
    <mergeCell ref="C103:H103"/>
  </mergeCells>
  <conditionalFormatting sqref="J20 H119 J119 D180 N160 F160 J80 H80 F80 E20 H20 F100 G60 J60 L60 L180 N100 C39:K39">
    <cfRule type="cellIs" priority="5" dxfId="4" operator="notBetween" stopIfTrue="1">
      <formula>-499</formula>
      <formula>500</formula>
    </cfRule>
  </conditionalFormatting>
  <printOptions horizontalCentered="1" verticalCentered="1"/>
  <pageMargins left="0.2362204724409449" right="0.15748031496062992" top="0.64" bottom="0.52" header="0.1968503937007874" footer="0.15748031496062992"/>
  <pageSetup fitToHeight="5" fitToWidth="1" horizontalDpi="300" verticalDpi="300" orientation="landscape" paperSize="9" scale="95" r:id="rId1"/>
  <headerFooter alignWithMargins="0">
    <oddFooter>&amp;LK &amp;&amp; T&amp;R&amp;D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4" width="10.00390625" style="0" customWidth="1"/>
    <col min="5" max="5" width="3.875" style="0" customWidth="1"/>
    <col min="6" max="6" width="10.00390625" style="0" customWidth="1"/>
    <col min="7" max="7" width="11.75390625" style="0" customWidth="1"/>
    <col min="8" max="9" width="10.00390625" style="0" customWidth="1"/>
    <col min="10" max="10" width="9.375" style="0" bestFit="1" customWidth="1"/>
    <col min="11" max="11" width="9.25390625" style="0" customWidth="1"/>
    <col min="12" max="14" width="10.00390625" style="0" customWidth="1"/>
    <col min="17" max="17" width="8.125" style="0" bestFit="1" customWidth="1"/>
  </cols>
  <sheetData>
    <row r="1" ht="15.75">
      <c r="A1" s="11" t="str">
        <f>Adatlap!$A$17</f>
        <v>Próba Kft.</v>
      </c>
    </row>
    <row r="2" spans="1:15" ht="15.75">
      <c r="A2" s="467" t="str">
        <f>+CONCATENATE(Adatlap!B11,". ÉVI ADÓTÁBLÁK")</f>
        <v>2010. ÉVI ADÓTÁBLÁK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</row>
    <row r="4" spans="1:13" ht="13.5" thickBot="1">
      <c r="A4" s="17" t="s">
        <v>146</v>
      </c>
      <c r="B4" s="3"/>
      <c r="C4" s="3"/>
      <c r="D4" s="7">
        <v>4611</v>
      </c>
      <c r="G4" s="17" t="s">
        <v>147</v>
      </c>
      <c r="H4" s="3"/>
      <c r="I4" s="17"/>
      <c r="J4" s="3"/>
      <c r="K4" s="3"/>
      <c r="L4" s="3"/>
      <c r="M4" s="79">
        <v>4633</v>
      </c>
    </row>
    <row r="5" spans="1:13" ht="12.75">
      <c r="A5" s="36" t="s">
        <v>46</v>
      </c>
      <c r="B5" s="19" t="s">
        <v>47</v>
      </c>
      <c r="C5" s="19" t="s">
        <v>29</v>
      </c>
      <c r="D5" s="23" t="s">
        <v>31</v>
      </c>
      <c r="F5" s="282"/>
      <c r="G5" s="18" t="s">
        <v>46</v>
      </c>
      <c r="H5" s="19" t="s">
        <v>49</v>
      </c>
      <c r="I5" s="44">
        <v>0.015</v>
      </c>
      <c r="J5" s="19" t="s">
        <v>50</v>
      </c>
      <c r="K5" s="35" t="s">
        <v>51</v>
      </c>
      <c r="L5" s="35" t="s">
        <v>29</v>
      </c>
      <c r="M5" s="23" t="s">
        <v>31</v>
      </c>
    </row>
    <row r="6" spans="1:13" ht="13.5" thickBot="1">
      <c r="A6" s="39"/>
      <c r="B6" s="25"/>
      <c r="C6" s="25"/>
      <c r="D6" s="28"/>
      <c r="G6" s="24"/>
      <c r="H6" s="25">
        <v>541</v>
      </c>
      <c r="I6" s="25"/>
      <c r="J6" s="25"/>
      <c r="K6" s="25" t="s">
        <v>42</v>
      </c>
      <c r="L6" s="25"/>
      <c r="M6" s="28"/>
    </row>
    <row r="7" spans="1:13" ht="13.5" thickTop="1">
      <c r="A7" s="40"/>
      <c r="B7" s="3"/>
      <c r="C7" s="3"/>
      <c r="D7" s="4"/>
      <c r="G7" s="46"/>
      <c r="H7" s="212" t="s">
        <v>341</v>
      </c>
      <c r="I7" s="213"/>
      <c r="J7" s="213"/>
      <c r="K7" s="213"/>
      <c r="L7" s="213"/>
      <c r="M7" s="214"/>
    </row>
    <row r="8" spans="1:13" ht="12.75">
      <c r="A8" s="40"/>
      <c r="B8" s="13"/>
      <c r="C8" s="13"/>
      <c r="D8" s="14"/>
      <c r="G8" s="46"/>
      <c r="H8" s="13"/>
      <c r="I8" s="13"/>
      <c r="J8" s="47"/>
      <c r="K8" s="13"/>
      <c r="L8" s="13"/>
      <c r="M8" s="164"/>
    </row>
    <row r="9" spans="1:13" ht="12.75">
      <c r="A9" s="51" t="s">
        <v>48</v>
      </c>
      <c r="B9" s="13">
        <v>0</v>
      </c>
      <c r="C9" s="13">
        <v>0</v>
      </c>
      <c r="D9" s="14"/>
      <c r="G9" s="46" t="s">
        <v>48</v>
      </c>
      <c r="H9" s="13"/>
      <c r="I9" s="13"/>
      <c r="J9" s="13"/>
      <c r="K9" s="13">
        <v>0</v>
      </c>
      <c r="L9" s="13">
        <v>0</v>
      </c>
      <c r="M9" s="14"/>
    </row>
    <row r="10" spans="1:13" ht="12.75">
      <c r="A10" s="51"/>
      <c r="B10" s="13"/>
      <c r="C10" s="13"/>
      <c r="D10" s="14"/>
      <c r="G10" s="46"/>
      <c r="H10" s="13"/>
      <c r="I10" s="13"/>
      <c r="J10" s="13"/>
      <c r="K10" s="13"/>
      <c r="L10" s="13"/>
      <c r="M10" s="164"/>
    </row>
    <row r="11" spans="1:13" ht="12.75">
      <c r="A11" s="52">
        <v>37001</v>
      </c>
      <c r="B11" s="13"/>
      <c r="C11" s="13"/>
      <c r="D11" s="14"/>
      <c r="G11" s="46"/>
      <c r="H11" s="13"/>
      <c r="I11" s="13"/>
      <c r="J11" s="13"/>
      <c r="K11" s="13"/>
      <c r="L11" s="13"/>
      <c r="M11" s="164"/>
    </row>
    <row r="12" spans="1:13" ht="12.75">
      <c r="A12" s="51"/>
      <c r="B12" s="13"/>
      <c r="C12" s="13"/>
      <c r="D12" s="14"/>
      <c r="G12" s="46"/>
      <c r="H12" s="13"/>
      <c r="I12" s="13"/>
      <c r="J12" s="13"/>
      <c r="K12" s="13"/>
      <c r="L12" s="13"/>
      <c r="M12" s="164"/>
    </row>
    <row r="13" spans="1:13" ht="12.75">
      <c r="A13" s="52"/>
      <c r="B13" s="13"/>
      <c r="C13" s="13"/>
      <c r="D13" s="14"/>
      <c r="G13" s="48"/>
      <c r="H13" s="13"/>
      <c r="I13" s="3"/>
      <c r="J13" s="13"/>
      <c r="K13" s="3"/>
      <c r="L13" s="13"/>
      <c r="M13" s="164"/>
    </row>
    <row r="14" spans="1:13" ht="12.75">
      <c r="A14" s="52">
        <v>37092</v>
      </c>
      <c r="B14" s="13"/>
      <c r="C14" s="13"/>
      <c r="D14" s="14"/>
      <c r="G14" s="48">
        <v>36361</v>
      </c>
      <c r="H14" s="13">
        <f>SUM(Adótáblák!B8:B13)+SUM(Adótáblák!B148:B153)+Telefon!J110</f>
        <v>0</v>
      </c>
      <c r="I14" s="13" t="str">
        <f>IF(H14=0," ",H14*0.015)</f>
        <v> </v>
      </c>
      <c r="J14" s="13"/>
      <c r="K14" s="15">
        <v>0</v>
      </c>
      <c r="L14" s="13">
        <v>0</v>
      </c>
      <c r="M14" s="14"/>
    </row>
    <row r="15" spans="1:13" ht="12.75">
      <c r="A15" s="52"/>
      <c r="B15" s="13"/>
      <c r="C15" s="13"/>
      <c r="D15" s="14"/>
      <c r="G15" s="46"/>
      <c r="H15" s="13"/>
      <c r="I15" s="13"/>
      <c r="J15" s="13"/>
      <c r="K15" s="13"/>
      <c r="L15" s="13"/>
      <c r="M15" s="164"/>
    </row>
    <row r="16" spans="1:13" ht="12.75">
      <c r="A16" s="51"/>
      <c r="B16" s="13"/>
      <c r="C16" s="13"/>
      <c r="D16" s="14"/>
      <c r="G16" s="46"/>
      <c r="H16" s="13"/>
      <c r="I16" s="13"/>
      <c r="J16" s="13"/>
      <c r="K16" s="13"/>
      <c r="L16" s="13"/>
      <c r="M16" s="164"/>
    </row>
    <row r="17" spans="1:13" ht="12.75">
      <c r="A17" s="52">
        <v>37184</v>
      </c>
      <c r="B17" s="13"/>
      <c r="C17" s="13"/>
      <c r="D17" s="14"/>
      <c r="G17" s="46"/>
      <c r="H17" s="13"/>
      <c r="I17" s="13"/>
      <c r="J17" s="13"/>
      <c r="K17" s="13"/>
      <c r="L17" s="13"/>
      <c r="M17" s="164"/>
    </row>
    <row r="18" spans="1:13" ht="12.75">
      <c r="A18" s="52"/>
      <c r="B18" s="13"/>
      <c r="C18" s="13"/>
      <c r="D18" s="14"/>
      <c r="G18" s="46"/>
      <c r="H18" s="13"/>
      <c r="I18" s="13"/>
      <c r="J18" s="13"/>
      <c r="K18" s="13"/>
      <c r="L18" s="13"/>
      <c r="M18" s="164"/>
    </row>
    <row r="19" spans="1:13" ht="12.75">
      <c r="A19" s="52"/>
      <c r="B19" s="13"/>
      <c r="C19" s="13"/>
      <c r="D19" s="14"/>
      <c r="G19" s="46"/>
      <c r="H19" s="13"/>
      <c r="I19" s="13"/>
      <c r="J19" s="13"/>
      <c r="K19" s="13"/>
      <c r="L19" s="13"/>
      <c r="M19" s="164"/>
    </row>
    <row r="20" spans="1:13" ht="12.75">
      <c r="A20" s="52" t="s">
        <v>304</v>
      </c>
      <c r="B20" s="13"/>
      <c r="C20" s="13"/>
      <c r="D20" s="14"/>
      <c r="G20" s="48">
        <v>36525</v>
      </c>
      <c r="H20" s="13">
        <f>SUM(Adótáblák!B14:B19)+SUM(Adótáblák!B154:B159)+Telefon!J224</f>
        <v>0</v>
      </c>
      <c r="I20" s="13" t="str">
        <f>IF(H20=0," ",H20*0.015)</f>
        <v> </v>
      </c>
      <c r="J20" s="13"/>
      <c r="K20" s="13">
        <v>0</v>
      </c>
      <c r="L20" s="13"/>
      <c r="M20" s="164"/>
    </row>
    <row r="21" spans="1:13" ht="13.5" thickBot="1">
      <c r="A21" s="40"/>
      <c r="B21" s="13"/>
      <c r="C21" s="299">
        <v>0</v>
      </c>
      <c r="D21" s="300">
        <v>40563</v>
      </c>
      <c r="G21" s="46"/>
      <c r="H21" s="13"/>
      <c r="I21" s="13"/>
      <c r="J21" s="13"/>
      <c r="K21" s="13"/>
      <c r="L21" s="13"/>
      <c r="M21" s="164"/>
    </row>
    <row r="22" spans="1:13" ht="13.5" thickBot="1">
      <c r="A22" s="6" t="s">
        <v>34</v>
      </c>
      <c r="B22" s="32">
        <f>SUM(B10:B21)</f>
        <v>0</v>
      </c>
      <c r="C22" s="32">
        <f>SUM(C10:C20)</f>
        <v>0</v>
      </c>
      <c r="D22" s="33">
        <f>B22-C22+B9-C9</f>
        <v>0</v>
      </c>
      <c r="F22" s="171"/>
      <c r="G22" s="49" t="s">
        <v>34</v>
      </c>
      <c r="H22" s="53">
        <f>SUM(H9:H21)</f>
        <v>0</v>
      </c>
      <c r="I22" s="53">
        <f>SUM(I9:I21)</f>
        <v>0</v>
      </c>
      <c r="J22" s="32">
        <f>SUM(J10:J21)</f>
        <v>0</v>
      </c>
      <c r="K22" s="32">
        <f>SUM(K10:K21)</f>
        <v>0</v>
      </c>
      <c r="L22" s="32">
        <f>SUM(L10:L21)</f>
        <v>0</v>
      </c>
      <c r="M22" s="33">
        <f>+K22-L22+K9-L9</f>
        <v>0</v>
      </c>
    </row>
    <row r="23" ht="12.75">
      <c r="N23" s="7">
        <v>4691</v>
      </c>
    </row>
    <row r="24" spans="1:13" ht="13.5" thickBot="1">
      <c r="A24" s="17" t="s">
        <v>194</v>
      </c>
      <c r="B24" s="3"/>
      <c r="C24" s="3"/>
      <c r="D24" s="7">
        <v>4638</v>
      </c>
      <c r="F24" s="17" t="s">
        <v>93</v>
      </c>
      <c r="G24" s="3"/>
      <c r="H24" s="3"/>
      <c r="I24" s="7">
        <v>4638</v>
      </c>
      <c r="J24" s="17" t="s">
        <v>161</v>
      </c>
      <c r="L24" s="3"/>
      <c r="M24" s="3"/>
    </row>
    <row r="25" spans="1:14" ht="12.75">
      <c r="A25" s="36" t="s">
        <v>46</v>
      </c>
      <c r="B25" s="19" t="s">
        <v>28</v>
      </c>
      <c r="C25" s="19" t="s">
        <v>29</v>
      </c>
      <c r="D25" s="23" t="s">
        <v>31</v>
      </c>
      <c r="F25" s="36" t="s">
        <v>46</v>
      </c>
      <c r="G25" s="19" t="s">
        <v>28</v>
      </c>
      <c r="H25" s="19" t="s">
        <v>29</v>
      </c>
      <c r="I25" s="23" t="s">
        <v>31</v>
      </c>
      <c r="K25" s="36" t="s">
        <v>46</v>
      </c>
      <c r="L25" s="19" t="s">
        <v>47</v>
      </c>
      <c r="M25" s="19" t="s">
        <v>29</v>
      </c>
      <c r="N25" s="23" t="s">
        <v>31</v>
      </c>
    </row>
    <row r="26" spans="1:14" ht="13.5" thickBot="1">
      <c r="A26" s="39"/>
      <c r="B26" s="25"/>
      <c r="C26" s="25"/>
      <c r="D26" s="28"/>
      <c r="F26" s="39"/>
      <c r="G26" s="25"/>
      <c r="H26" s="25"/>
      <c r="I26" s="28"/>
      <c r="K26" s="39"/>
      <c r="L26" s="25"/>
      <c r="M26" s="25"/>
      <c r="N26" s="28"/>
    </row>
    <row r="27" spans="1:14" ht="13.5" thickTop="1">
      <c r="A27" s="40"/>
      <c r="B27" s="3"/>
      <c r="C27" s="3"/>
      <c r="D27" s="4"/>
      <c r="F27" s="40"/>
      <c r="G27" s="3"/>
      <c r="H27" s="3"/>
      <c r="I27" s="4"/>
      <c r="K27" s="40"/>
      <c r="L27" s="3"/>
      <c r="M27" s="3"/>
      <c r="N27" s="4"/>
    </row>
    <row r="28" spans="1:14" ht="12.75">
      <c r="A28" s="51"/>
      <c r="B28" s="13"/>
      <c r="C28" s="13"/>
      <c r="D28" s="14"/>
      <c r="F28" s="40"/>
      <c r="G28" s="13"/>
      <c r="H28" s="13"/>
      <c r="I28" s="14"/>
      <c r="K28" s="40"/>
      <c r="L28" s="13"/>
      <c r="M28" s="13"/>
      <c r="N28" s="14"/>
    </row>
    <row r="29" spans="1:14" ht="12.75">
      <c r="A29" s="51" t="s">
        <v>48</v>
      </c>
      <c r="B29" s="13"/>
      <c r="C29" s="13">
        <v>0</v>
      </c>
      <c r="D29" s="14"/>
      <c r="F29" s="51" t="s">
        <v>48</v>
      </c>
      <c r="G29" s="13">
        <v>0</v>
      </c>
      <c r="H29" s="13">
        <v>0</v>
      </c>
      <c r="I29" s="14"/>
      <c r="K29" s="51" t="s">
        <v>48</v>
      </c>
      <c r="L29" s="13">
        <v>0</v>
      </c>
      <c r="M29" s="13">
        <v>0</v>
      </c>
      <c r="N29" s="14"/>
    </row>
    <row r="30" spans="1:14" ht="12.75">
      <c r="A30" s="51"/>
      <c r="B30" s="13"/>
      <c r="C30" s="13"/>
      <c r="D30" s="14"/>
      <c r="F30" s="51"/>
      <c r="G30" s="13"/>
      <c r="H30" s="13"/>
      <c r="I30" s="14"/>
      <c r="K30" s="51"/>
      <c r="L30" s="13"/>
      <c r="M30" s="13"/>
      <c r="N30" s="14"/>
    </row>
    <row r="31" spans="1:14" ht="12.75">
      <c r="A31" s="52"/>
      <c r="B31" s="13"/>
      <c r="C31" s="13"/>
      <c r="D31" s="14"/>
      <c r="F31" s="52">
        <v>36270</v>
      </c>
      <c r="G31" s="13"/>
      <c r="H31" s="13"/>
      <c r="I31" s="14"/>
      <c r="K31" s="52">
        <v>36234</v>
      </c>
      <c r="L31" s="13"/>
      <c r="M31" s="13"/>
      <c r="N31" s="14"/>
    </row>
    <row r="32" spans="1:14" ht="12.75">
      <c r="A32" s="52" t="s">
        <v>186</v>
      </c>
      <c r="B32" s="13"/>
      <c r="C32" s="13"/>
      <c r="D32" s="14"/>
      <c r="F32" s="51"/>
      <c r="G32" s="13"/>
      <c r="H32" s="13"/>
      <c r="I32" s="14"/>
      <c r="K32" s="51"/>
      <c r="L32" s="13"/>
      <c r="M32" s="13"/>
      <c r="N32" s="14"/>
    </row>
    <row r="33" spans="1:14" ht="12.75">
      <c r="A33" s="51"/>
      <c r="B33" s="13"/>
      <c r="C33" s="13"/>
      <c r="D33" s="14"/>
      <c r="F33" s="51"/>
      <c r="G33" s="13"/>
      <c r="H33" s="13"/>
      <c r="I33" s="14"/>
      <c r="K33" s="51"/>
      <c r="L33" s="13"/>
      <c r="M33" s="13"/>
      <c r="N33" s="14"/>
    </row>
    <row r="34" spans="1:14" ht="12.75">
      <c r="A34" s="52"/>
      <c r="B34" s="13"/>
      <c r="C34" s="13"/>
      <c r="D34" s="14"/>
      <c r="F34" s="52">
        <v>36361</v>
      </c>
      <c r="G34" s="13"/>
      <c r="H34" s="13"/>
      <c r="I34" s="14"/>
      <c r="K34" s="52"/>
      <c r="L34" s="13"/>
      <c r="M34" s="13"/>
      <c r="N34" s="14"/>
    </row>
    <row r="35" spans="1:14" ht="12.75">
      <c r="A35" s="51" t="s">
        <v>187</v>
      </c>
      <c r="B35" s="13"/>
      <c r="C35" s="13"/>
      <c r="D35" s="14"/>
      <c r="F35" s="51"/>
      <c r="G35" s="13"/>
      <c r="H35" s="13"/>
      <c r="I35" s="14"/>
      <c r="K35" s="51"/>
      <c r="L35" s="13"/>
      <c r="M35" s="13"/>
      <c r="N35" s="14"/>
    </row>
    <row r="36" spans="1:14" ht="12.75">
      <c r="A36" s="51"/>
      <c r="B36" s="13"/>
      <c r="C36" s="13"/>
      <c r="D36" s="14"/>
      <c r="F36" s="51"/>
      <c r="G36" s="13"/>
      <c r="H36" s="13"/>
      <c r="I36" s="14"/>
      <c r="K36" s="51"/>
      <c r="L36" s="13"/>
      <c r="M36" s="13"/>
      <c r="N36" s="14"/>
    </row>
    <row r="37" spans="1:14" ht="12.75">
      <c r="A37" s="52"/>
      <c r="B37" s="13"/>
      <c r="C37" s="13"/>
      <c r="D37" s="14"/>
      <c r="F37" s="52">
        <v>36453</v>
      </c>
      <c r="G37" s="13"/>
      <c r="H37" s="13"/>
      <c r="I37" s="14"/>
      <c r="K37" s="52">
        <v>36418</v>
      </c>
      <c r="L37" s="13"/>
      <c r="M37" s="13"/>
      <c r="N37" s="14"/>
    </row>
    <row r="38" spans="1:14" ht="12.75">
      <c r="A38" s="52" t="s">
        <v>188</v>
      </c>
      <c r="B38" s="13"/>
      <c r="C38" s="13"/>
      <c r="D38" s="14"/>
      <c r="F38" s="52"/>
      <c r="G38" s="13"/>
      <c r="H38" s="13"/>
      <c r="I38" s="14"/>
      <c r="K38" s="52"/>
      <c r="L38" s="13"/>
      <c r="M38" s="13"/>
      <c r="N38" s="14"/>
    </row>
    <row r="39" spans="1:14" ht="12.75">
      <c r="A39" s="51"/>
      <c r="B39" s="13"/>
      <c r="C39" s="13"/>
      <c r="D39" s="14"/>
      <c r="F39" s="51"/>
      <c r="G39" s="13"/>
      <c r="H39" s="13"/>
      <c r="I39" s="14"/>
      <c r="K39" s="51"/>
      <c r="L39" s="13"/>
      <c r="M39" s="13"/>
      <c r="N39" s="14"/>
    </row>
    <row r="40" spans="1:14" ht="12.75">
      <c r="A40" s="52" t="s">
        <v>189</v>
      </c>
      <c r="B40" s="13"/>
      <c r="C40" s="13"/>
      <c r="D40" s="14"/>
      <c r="F40" s="52">
        <v>36206</v>
      </c>
      <c r="G40" s="13"/>
      <c r="H40" s="13"/>
      <c r="I40" s="14"/>
      <c r="K40" s="52">
        <v>37245</v>
      </c>
      <c r="L40" s="13"/>
      <c r="M40" s="13"/>
      <c r="N40" s="14"/>
    </row>
    <row r="41" spans="1:14" ht="13.5" thickBot="1">
      <c r="A41" s="40"/>
      <c r="B41" s="13"/>
      <c r="C41" s="13"/>
      <c r="D41" s="14"/>
      <c r="F41" s="40"/>
      <c r="G41" s="13"/>
      <c r="H41" s="13"/>
      <c r="I41" s="14"/>
      <c r="K41" s="40"/>
      <c r="L41" s="13"/>
      <c r="M41" s="13"/>
      <c r="N41" s="14"/>
    </row>
    <row r="42" spans="1:14" ht="13.5" thickBot="1">
      <c r="A42" s="6" t="s">
        <v>34</v>
      </c>
      <c r="B42" s="32">
        <f>SUM(B30:B41)</f>
        <v>0</v>
      </c>
      <c r="C42" s="53">
        <f>SUM(C30:C40)</f>
        <v>0</v>
      </c>
      <c r="D42" s="33">
        <f>B42-C42+B29-C29</f>
        <v>0</v>
      </c>
      <c r="F42" s="6" t="s">
        <v>34</v>
      </c>
      <c r="G42" s="32">
        <f>SUM(G30:G41)</f>
        <v>0</v>
      </c>
      <c r="H42" s="32">
        <f>SUM(H30:H40)</f>
        <v>0</v>
      </c>
      <c r="I42" s="33">
        <f>G42-H42+G29-H29</f>
        <v>0</v>
      </c>
      <c r="K42" s="6" t="s">
        <v>34</v>
      </c>
      <c r="L42" s="32">
        <f>SUM(L30:L40)</f>
        <v>0</v>
      </c>
      <c r="M42" s="32">
        <f>SUM(M30:M40)</f>
        <v>0</v>
      </c>
      <c r="N42" s="33">
        <f>L42-M42+L29-M29</f>
        <v>0</v>
      </c>
    </row>
  </sheetData>
  <sheetProtection/>
  <mergeCells count="1">
    <mergeCell ref="A2:O2"/>
  </mergeCells>
  <printOptions horizontalCentered="1"/>
  <pageMargins left="0.17" right="0.17" top="0.29" bottom="0.31496062992125984" header="0.15748031496062992" footer="0.16"/>
  <pageSetup fitToHeight="1" fitToWidth="1" horizontalDpi="300" verticalDpi="300" orientation="landscape" paperSize="9" r:id="rId1"/>
  <headerFooter alignWithMargins="0">
    <oddFooter>&amp;LK &amp;&amp; T&amp;R&amp;D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8" width="10.75390625" style="0" customWidth="1"/>
    <col min="9" max="9" width="11.125" style="0" customWidth="1"/>
    <col min="10" max="11" width="10.75390625" style="0" customWidth="1"/>
    <col min="12" max="12" width="9.875" style="0" customWidth="1"/>
  </cols>
  <sheetData>
    <row r="1" spans="1:12" ht="15.75" customHeight="1">
      <c r="A1" s="11" t="str">
        <f>Adatlap!$A$17</f>
        <v>Próba Kft.</v>
      </c>
      <c r="B1" s="193"/>
      <c r="C1" s="193"/>
      <c r="D1" s="193"/>
      <c r="E1" s="193"/>
      <c r="F1" s="193"/>
      <c r="G1" s="193"/>
      <c r="H1" s="193"/>
      <c r="I1" s="193"/>
      <c r="J1" s="469"/>
      <c r="K1" s="469"/>
      <c r="L1" s="469"/>
    </row>
    <row r="2" spans="1:12" ht="15.75" customHeight="1">
      <c r="A2" s="11"/>
      <c r="B2" s="193"/>
      <c r="C2" s="193"/>
      <c r="D2" s="193"/>
      <c r="E2" s="193"/>
      <c r="F2" s="193"/>
      <c r="G2" s="193"/>
      <c r="H2" s="193"/>
      <c r="I2" s="193"/>
      <c r="J2" s="469"/>
      <c r="K2" s="469"/>
      <c r="L2" s="469"/>
    </row>
    <row r="3" spans="2:12" ht="12.75" customHeight="1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15.75">
      <c r="A4" s="90" t="s">
        <v>363</v>
      </c>
      <c r="B4" s="50"/>
      <c r="C4" s="56"/>
      <c r="D4" s="56"/>
      <c r="E4" s="56"/>
      <c r="F4" s="56"/>
      <c r="G4" s="56"/>
      <c r="H4" s="56"/>
      <c r="I4" s="56"/>
      <c r="J4" s="57"/>
      <c r="K4" s="57"/>
      <c r="L4" s="50"/>
    </row>
    <row r="5" ht="13.5" thickBot="1">
      <c r="A5" s="7" t="s">
        <v>148</v>
      </c>
    </row>
    <row r="6" spans="1:12" ht="39" thickBot="1">
      <c r="A6" s="58" t="s">
        <v>25</v>
      </c>
      <c r="B6" s="59" t="s">
        <v>26</v>
      </c>
      <c r="C6" s="59" t="s">
        <v>58</v>
      </c>
      <c r="D6" s="60" t="s">
        <v>27</v>
      </c>
      <c r="E6" s="59" t="s">
        <v>181</v>
      </c>
      <c r="F6" s="59" t="s">
        <v>183</v>
      </c>
      <c r="G6" s="59" t="s">
        <v>180</v>
      </c>
      <c r="H6" s="59" t="s">
        <v>178</v>
      </c>
      <c r="I6" s="59" t="s">
        <v>179</v>
      </c>
      <c r="J6" s="60" t="s">
        <v>29</v>
      </c>
      <c r="K6" s="59" t="s">
        <v>30</v>
      </c>
      <c r="L6" s="61" t="s">
        <v>31</v>
      </c>
    </row>
    <row r="7" spans="1:12" ht="12.75">
      <c r="A7" s="62"/>
      <c r="B7" s="1"/>
      <c r="C7" s="1"/>
      <c r="D7" s="1"/>
      <c r="E7" s="1"/>
      <c r="F7" s="1"/>
      <c r="G7" s="1"/>
      <c r="H7" s="178"/>
      <c r="I7" s="1"/>
      <c r="J7" s="165">
        <v>0</v>
      </c>
      <c r="K7" s="1">
        <v>0</v>
      </c>
      <c r="L7" s="14"/>
    </row>
    <row r="8" spans="1:12" ht="12.75">
      <c r="A8" s="63" t="s">
        <v>0</v>
      </c>
      <c r="B8" s="108"/>
      <c r="C8" s="108"/>
      <c r="D8" s="13">
        <f aca="true" t="shared" si="0" ref="D8:D20">C8-B8</f>
        <v>0</v>
      </c>
      <c r="E8" s="110">
        <f>+ROUND(D8/1000,0)*1000</f>
        <v>0</v>
      </c>
      <c r="F8" s="110">
        <f>-D24+D25</f>
        <v>0</v>
      </c>
      <c r="G8" s="110">
        <f>+E8-F8</f>
        <v>0</v>
      </c>
      <c r="H8" s="110"/>
      <c r="I8" s="110">
        <f>+G8+H8</f>
        <v>0</v>
      </c>
      <c r="J8" s="110"/>
      <c r="K8" s="110"/>
      <c r="L8" s="14"/>
    </row>
    <row r="9" spans="1:12" ht="12.75">
      <c r="A9" s="63" t="s">
        <v>1</v>
      </c>
      <c r="B9" s="108"/>
      <c r="C9" s="108"/>
      <c r="D9" s="13">
        <f t="shared" si="0"/>
        <v>0</v>
      </c>
      <c r="E9" s="110">
        <f>+ROUND(D9/1000,0)*1000</f>
        <v>0</v>
      </c>
      <c r="F9" s="110">
        <f>+IF(D9=0,0,H8)</f>
        <v>0</v>
      </c>
      <c r="G9" s="110">
        <f>+E9-F9</f>
        <v>0</v>
      </c>
      <c r="H9" s="110"/>
      <c r="I9" s="110">
        <f>+G9+H9</f>
        <v>0</v>
      </c>
      <c r="J9" s="110"/>
      <c r="K9" s="110"/>
      <c r="L9" s="14"/>
    </row>
    <row r="10" spans="1:12" ht="12.75">
      <c r="A10" s="63" t="s">
        <v>2</v>
      </c>
      <c r="B10" s="108"/>
      <c r="C10" s="108"/>
      <c r="D10" s="13">
        <f t="shared" si="0"/>
        <v>0</v>
      </c>
      <c r="E10" s="110">
        <f aca="true" t="shared" si="1" ref="E10:E19">+ROUND(D10/1000,0)*1000</f>
        <v>0</v>
      </c>
      <c r="F10" s="110">
        <f aca="true" t="shared" si="2" ref="F10:F19">+IF(D10=0,0,H9)</f>
        <v>0</v>
      </c>
      <c r="G10" s="110">
        <f aca="true" t="shared" si="3" ref="G10:G19">+E10-F10</f>
        <v>0</v>
      </c>
      <c r="H10" s="110"/>
      <c r="I10" s="110">
        <f aca="true" t="shared" si="4" ref="I10:I19">+G10+H10</f>
        <v>0</v>
      </c>
      <c r="J10" s="110"/>
      <c r="K10" s="110"/>
      <c r="L10" s="14"/>
    </row>
    <row r="11" spans="1:12" ht="12.75">
      <c r="A11" s="63" t="s">
        <v>3</v>
      </c>
      <c r="B11" s="13"/>
      <c r="C11" s="13"/>
      <c r="D11" s="13">
        <f t="shared" si="0"/>
        <v>0</v>
      </c>
      <c r="E11" s="110">
        <f t="shared" si="1"/>
        <v>0</v>
      </c>
      <c r="F11" s="110">
        <f t="shared" si="2"/>
        <v>0</v>
      </c>
      <c r="G11" s="110">
        <f t="shared" si="3"/>
        <v>0</v>
      </c>
      <c r="H11" s="110"/>
      <c r="I11" s="110">
        <f t="shared" si="4"/>
        <v>0</v>
      </c>
      <c r="J11" s="110"/>
      <c r="K11" s="110"/>
      <c r="L11" s="14"/>
    </row>
    <row r="12" spans="1:12" ht="12.75">
      <c r="A12" s="63" t="s">
        <v>4</v>
      </c>
      <c r="B12" s="13"/>
      <c r="C12" s="13"/>
      <c r="D12" s="13">
        <f t="shared" si="0"/>
        <v>0</v>
      </c>
      <c r="E12" s="110">
        <f t="shared" si="1"/>
        <v>0</v>
      </c>
      <c r="F12" s="110">
        <f t="shared" si="2"/>
        <v>0</v>
      </c>
      <c r="G12" s="110">
        <f t="shared" si="3"/>
        <v>0</v>
      </c>
      <c r="H12" s="110"/>
      <c r="I12" s="110">
        <f t="shared" si="4"/>
        <v>0</v>
      </c>
      <c r="J12" s="110"/>
      <c r="K12" s="110"/>
      <c r="L12" s="14"/>
    </row>
    <row r="13" spans="1:12" ht="12.75">
      <c r="A13" s="63" t="s">
        <v>32</v>
      </c>
      <c r="B13" s="13"/>
      <c r="C13" s="13"/>
      <c r="D13" s="13">
        <f t="shared" si="0"/>
        <v>0</v>
      </c>
      <c r="E13" s="110">
        <f t="shared" si="1"/>
        <v>0</v>
      </c>
      <c r="F13" s="110">
        <f t="shared" si="2"/>
        <v>0</v>
      </c>
      <c r="G13" s="110">
        <f t="shared" si="3"/>
        <v>0</v>
      </c>
      <c r="H13" s="110"/>
      <c r="I13" s="110">
        <f t="shared" si="4"/>
        <v>0</v>
      </c>
      <c r="J13" s="110"/>
      <c r="K13" s="110"/>
      <c r="L13" s="14"/>
    </row>
    <row r="14" spans="1:12" ht="12.75">
      <c r="A14" s="63" t="s">
        <v>5</v>
      </c>
      <c r="B14" s="110"/>
      <c r="C14" s="99"/>
      <c r="D14" s="13">
        <f t="shared" si="0"/>
        <v>0</v>
      </c>
      <c r="E14" s="110">
        <f t="shared" si="1"/>
        <v>0</v>
      </c>
      <c r="F14" s="110">
        <f t="shared" si="2"/>
        <v>0</v>
      </c>
      <c r="G14" s="110">
        <f t="shared" si="3"/>
        <v>0</v>
      </c>
      <c r="H14" s="110"/>
      <c r="I14" s="110">
        <f t="shared" si="4"/>
        <v>0</v>
      </c>
      <c r="J14" s="110"/>
      <c r="K14" s="110"/>
      <c r="L14" s="14"/>
    </row>
    <row r="15" spans="1:12" ht="12.75">
      <c r="A15" s="63" t="s">
        <v>33</v>
      </c>
      <c r="B15" s="110"/>
      <c r="C15" s="110"/>
      <c r="D15" s="13">
        <f t="shared" si="0"/>
        <v>0</v>
      </c>
      <c r="E15" s="110">
        <f t="shared" si="1"/>
        <v>0</v>
      </c>
      <c r="F15" s="110">
        <f t="shared" si="2"/>
        <v>0</v>
      </c>
      <c r="G15" s="110">
        <f t="shared" si="3"/>
        <v>0</v>
      </c>
      <c r="H15" s="110"/>
      <c r="I15" s="110">
        <f t="shared" si="4"/>
        <v>0</v>
      </c>
      <c r="J15" s="110"/>
      <c r="K15" s="110"/>
      <c r="L15" s="14"/>
    </row>
    <row r="16" spans="1:12" ht="12.75">
      <c r="A16" s="63" t="s">
        <v>6</v>
      </c>
      <c r="B16" s="110"/>
      <c r="C16" s="110"/>
      <c r="D16" s="13">
        <f t="shared" si="0"/>
        <v>0</v>
      </c>
      <c r="E16" s="110">
        <f t="shared" si="1"/>
        <v>0</v>
      </c>
      <c r="F16" s="110">
        <f t="shared" si="2"/>
        <v>0</v>
      </c>
      <c r="G16" s="110">
        <f t="shared" si="3"/>
        <v>0</v>
      </c>
      <c r="H16" s="110"/>
      <c r="I16" s="110">
        <f t="shared" si="4"/>
        <v>0</v>
      </c>
      <c r="J16" s="110"/>
      <c r="K16" s="110"/>
      <c r="L16" s="14"/>
    </row>
    <row r="17" spans="1:12" ht="12.75">
      <c r="A17" s="63" t="s">
        <v>7</v>
      </c>
      <c r="B17" s="110"/>
      <c r="C17" s="110"/>
      <c r="D17" s="13">
        <f t="shared" si="0"/>
        <v>0</v>
      </c>
      <c r="E17" s="110">
        <f t="shared" si="1"/>
        <v>0</v>
      </c>
      <c r="F17" s="110">
        <f t="shared" si="2"/>
        <v>0</v>
      </c>
      <c r="G17" s="110">
        <f t="shared" si="3"/>
        <v>0</v>
      </c>
      <c r="H17" s="110"/>
      <c r="I17" s="110">
        <f t="shared" si="4"/>
        <v>0</v>
      </c>
      <c r="J17" s="110"/>
      <c r="K17" s="110"/>
      <c r="L17" s="14"/>
    </row>
    <row r="18" spans="1:12" ht="12.75">
      <c r="A18" s="63" t="s">
        <v>8</v>
      </c>
      <c r="B18" s="110"/>
      <c r="C18" s="110"/>
      <c r="D18" s="13">
        <f t="shared" si="0"/>
        <v>0</v>
      </c>
      <c r="E18" s="110">
        <f t="shared" si="1"/>
        <v>0</v>
      </c>
      <c r="F18" s="110">
        <f t="shared" si="2"/>
        <v>0</v>
      </c>
      <c r="G18" s="110">
        <f t="shared" si="3"/>
        <v>0</v>
      </c>
      <c r="H18" s="110"/>
      <c r="I18" s="110">
        <f t="shared" si="4"/>
        <v>0</v>
      </c>
      <c r="J18" s="110"/>
      <c r="K18" s="110"/>
      <c r="L18" s="14"/>
    </row>
    <row r="19" spans="1:12" ht="12.75">
      <c r="A19" s="63" t="s">
        <v>9</v>
      </c>
      <c r="B19" s="110"/>
      <c r="C19" s="110"/>
      <c r="D19" s="13">
        <f t="shared" si="0"/>
        <v>0</v>
      </c>
      <c r="E19" s="110">
        <f t="shared" si="1"/>
        <v>0</v>
      </c>
      <c r="F19" s="110">
        <f t="shared" si="2"/>
        <v>0</v>
      </c>
      <c r="G19" s="110">
        <f t="shared" si="3"/>
        <v>0</v>
      </c>
      <c r="H19" s="110"/>
      <c r="I19" s="110">
        <f t="shared" si="4"/>
        <v>0</v>
      </c>
      <c r="J19" s="110"/>
      <c r="K19" s="110"/>
      <c r="L19" s="14"/>
    </row>
    <row r="20" spans="1:12" ht="12.75">
      <c r="A20" s="176" t="s">
        <v>175</v>
      </c>
      <c r="B20" s="13"/>
      <c r="C20" s="13"/>
      <c r="D20" s="13">
        <f t="shared" si="0"/>
        <v>0</v>
      </c>
      <c r="E20" s="13">
        <f>+E21-D21</f>
        <v>0</v>
      </c>
      <c r="F20" s="13"/>
      <c r="G20" s="110"/>
      <c r="H20" s="13"/>
      <c r="I20" s="13"/>
      <c r="J20" s="13"/>
      <c r="K20" s="13"/>
      <c r="L20" s="164"/>
    </row>
    <row r="21" spans="1:12" ht="13.5" thickBot="1">
      <c r="A21" s="64" t="s">
        <v>34</v>
      </c>
      <c r="B21" s="111">
        <f>SUM(B8:B20)</f>
        <v>0</v>
      </c>
      <c r="C21" s="111">
        <f>SUM(C8:C20)</f>
        <v>0</v>
      </c>
      <c r="D21" s="111">
        <f>SUM(D8:D20)</f>
        <v>0</v>
      </c>
      <c r="E21" s="111">
        <f>SUM(E8:E19)+K21</f>
        <v>0</v>
      </c>
      <c r="F21" s="111"/>
      <c r="G21" s="111"/>
      <c r="H21" s="111"/>
      <c r="I21" s="111">
        <f>SUM(I8:I20)</f>
        <v>0</v>
      </c>
      <c r="J21" s="111">
        <f>SUM(J7:J20)</f>
        <v>0</v>
      </c>
      <c r="K21" s="111">
        <f>SUM(K8:K20)</f>
        <v>0</v>
      </c>
      <c r="L21" s="112"/>
    </row>
    <row r="22" spans="1:12" ht="12.75">
      <c r="A22" s="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3.5" thickBot="1">
      <c r="A23" s="3"/>
      <c r="B23" s="13"/>
      <c r="C23" s="13"/>
      <c r="D23" s="13"/>
      <c r="E23" s="13"/>
      <c r="F23" s="13"/>
      <c r="G23" s="13"/>
      <c r="H23" s="13"/>
      <c r="I23" s="226" t="s">
        <v>233</v>
      </c>
      <c r="J23" s="226" t="s">
        <v>301</v>
      </c>
      <c r="K23" s="226" t="s">
        <v>436</v>
      </c>
      <c r="L23" s="226" t="s">
        <v>302</v>
      </c>
    </row>
    <row r="24" spans="1:12" ht="12.75">
      <c r="A24" s="65" t="s">
        <v>35</v>
      </c>
      <c r="B24" s="16"/>
      <c r="C24" s="16"/>
      <c r="D24" s="16">
        <v>0</v>
      </c>
      <c r="E24" s="16"/>
      <c r="F24" s="16"/>
      <c r="G24" s="16"/>
      <c r="H24" s="16"/>
      <c r="I24" s="218" t="s">
        <v>234</v>
      </c>
      <c r="J24" s="219"/>
      <c r="K24" s="227"/>
      <c r="L24" s="220"/>
    </row>
    <row r="25" spans="1:12" ht="12.75">
      <c r="A25" s="65" t="s">
        <v>437</v>
      </c>
      <c r="B25" s="16"/>
      <c r="C25" s="16"/>
      <c r="D25" s="16">
        <v>0</v>
      </c>
      <c r="E25" s="16"/>
      <c r="F25" s="16"/>
      <c r="G25" s="16"/>
      <c r="H25" s="16"/>
      <c r="I25" s="31" t="s">
        <v>235</v>
      </c>
      <c r="J25" s="30"/>
      <c r="K25" s="297">
        <f>SUM(L24:L26)</f>
        <v>0</v>
      </c>
      <c r="L25" s="54"/>
    </row>
    <row r="26" spans="1:12" ht="12.75">
      <c r="A26" s="65"/>
      <c r="B26" s="16"/>
      <c r="C26" s="16"/>
      <c r="D26" s="16"/>
      <c r="E26" s="16"/>
      <c r="F26" s="16"/>
      <c r="G26" s="16"/>
      <c r="H26" s="16"/>
      <c r="I26" s="31" t="s">
        <v>236</v>
      </c>
      <c r="J26" s="157"/>
      <c r="K26" s="296">
        <f>+J24+J25+J26</f>
        <v>0</v>
      </c>
      <c r="L26" s="210"/>
    </row>
    <row r="27" spans="1:12" ht="12.75">
      <c r="A27" t="s">
        <v>37</v>
      </c>
      <c r="B27" s="16"/>
      <c r="C27" s="16">
        <f>B21</f>
        <v>0</v>
      </c>
      <c r="D27" s="16"/>
      <c r="E27" s="16"/>
      <c r="F27" s="16"/>
      <c r="G27" s="16"/>
      <c r="H27" s="16"/>
      <c r="I27" s="31" t="s">
        <v>237</v>
      </c>
      <c r="J27" s="217"/>
      <c r="K27" s="228"/>
      <c r="L27" s="221"/>
    </row>
    <row r="28" spans="1:12" ht="12.75">
      <c r="A28" t="s">
        <v>38</v>
      </c>
      <c r="B28" s="16"/>
      <c r="C28" s="16">
        <f>C21</f>
        <v>0</v>
      </c>
      <c r="D28" s="16"/>
      <c r="E28" s="113" t="s">
        <v>36</v>
      </c>
      <c r="F28" s="113"/>
      <c r="G28" s="113"/>
      <c r="H28" s="16">
        <f>C28-C27+C29</f>
        <v>0</v>
      </c>
      <c r="I28" s="31" t="s">
        <v>238</v>
      </c>
      <c r="J28" s="314"/>
      <c r="K28" s="297">
        <f>SUM(L27:L29)</f>
        <v>0</v>
      </c>
      <c r="L28" s="4"/>
    </row>
    <row r="29" spans="1:12" ht="12.75">
      <c r="A29" t="s">
        <v>39</v>
      </c>
      <c r="B29" s="16"/>
      <c r="C29" s="16">
        <f>D24-J21</f>
        <v>0</v>
      </c>
      <c r="D29" s="16"/>
      <c r="E29" s="16"/>
      <c r="F29" s="16"/>
      <c r="G29" s="16"/>
      <c r="H29" s="16"/>
      <c r="I29" s="31" t="s">
        <v>239</v>
      </c>
      <c r="J29" s="157"/>
      <c r="K29" s="296">
        <f>+J27+J28+J29</f>
        <v>0</v>
      </c>
      <c r="L29" s="208"/>
    </row>
    <row r="30" spans="1:12" ht="12.75">
      <c r="A30" s="65" t="s">
        <v>40</v>
      </c>
      <c r="B30" s="16"/>
      <c r="C30" s="16">
        <f>C21-B21-J21+D24</f>
        <v>0</v>
      </c>
      <c r="D30" s="16"/>
      <c r="E30" s="16"/>
      <c r="F30" s="16"/>
      <c r="G30" s="16"/>
      <c r="H30" s="16"/>
      <c r="I30" s="31" t="s">
        <v>245</v>
      </c>
      <c r="J30" s="217"/>
      <c r="K30" s="228"/>
      <c r="L30" s="221"/>
    </row>
    <row r="31" spans="2:12" ht="12.75">
      <c r="B31" s="16"/>
      <c r="C31" s="16"/>
      <c r="D31" s="16"/>
      <c r="E31" s="16"/>
      <c r="F31" s="16"/>
      <c r="G31" s="16"/>
      <c r="H31" s="16"/>
      <c r="I31" s="31" t="s">
        <v>240</v>
      </c>
      <c r="J31" s="30"/>
      <c r="K31" s="297">
        <f>SUM(L30:L32)</f>
        <v>0</v>
      </c>
      <c r="L31" s="54"/>
    </row>
    <row r="32" spans="2:12" ht="18">
      <c r="B32" s="66" t="s">
        <v>182</v>
      </c>
      <c r="D32" s="67"/>
      <c r="E32" s="12"/>
      <c r="F32" s="12"/>
      <c r="G32" s="470">
        <f>I21-J21+D25+K21</f>
        <v>0</v>
      </c>
      <c r="H32" s="470"/>
      <c r="I32" s="31" t="s">
        <v>241</v>
      </c>
      <c r="J32" s="157"/>
      <c r="K32" s="296">
        <f>+J30+J31+J32</f>
        <v>0</v>
      </c>
      <c r="L32" s="433"/>
    </row>
    <row r="33" spans="1:12" ht="15">
      <c r="A33" s="12"/>
      <c r="B33" s="12" t="s">
        <v>184</v>
      </c>
      <c r="C33" s="12"/>
      <c r="D33" s="12"/>
      <c r="E33" s="12"/>
      <c r="F33" s="12"/>
      <c r="G33" s="471">
        <f>-E21+I21+-D24+D25+K21</f>
        <v>0</v>
      </c>
      <c r="H33" s="471"/>
      <c r="I33" s="434" t="s">
        <v>242</v>
      </c>
      <c r="J33" s="435"/>
      <c r="K33" s="229"/>
      <c r="L33" s="436"/>
    </row>
    <row r="34" spans="1:12" ht="18">
      <c r="A34" s="179"/>
      <c r="B34" s="179" t="s">
        <v>232</v>
      </c>
      <c r="C34" s="179"/>
      <c r="D34" s="179"/>
      <c r="E34" s="179"/>
      <c r="F34" s="179"/>
      <c r="G34" s="472">
        <f>G32-G33</f>
        <v>0</v>
      </c>
      <c r="H34" s="472"/>
      <c r="I34" s="434" t="s">
        <v>243</v>
      </c>
      <c r="J34" s="437"/>
      <c r="K34" s="297">
        <f>SUM(L33:L35)</f>
        <v>0</v>
      </c>
      <c r="L34" s="436"/>
    </row>
    <row r="35" spans="9:12" ht="13.5" thickBot="1">
      <c r="I35" s="438" t="s">
        <v>244</v>
      </c>
      <c r="J35" s="224"/>
      <c r="K35" s="298">
        <f>+J33+J34+J35</f>
        <v>0</v>
      </c>
      <c r="L35" s="225"/>
    </row>
    <row r="36" ht="12.75">
      <c r="A36" s="188"/>
    </row>
    <row r="37" spans="1:12" s="12" customFormat="1" ht="15">
      <c r="A37" s="198"/>
      <c r="B37" s="198"/>
      <c r="C37" s="198"/>
      <c r="D37" s="198"/>
      <c r="E37" s="199"/>
      <c r="F37" s="199"/>
      <c r="G37"/>
      <c r="H37"/>
      <c r="I37"/>
      <c r="J37"/>
      <c r="K37"/>
      <c r="L37"/>
    </row>
    <row r="38" spans="1:12" s="179" customFormat="1" ht="18">
      <c r="A38" s="198"/>
      <c r="B38" s="198"/>
      <c r="C38" s="198"/>
      <c r="D38" s="198"/>
      <c r="E38" s="199"/>
      <c r="F38" s="199"/>
      <c r="G38"/>
      <c r="H38"/>
      <c r="I38"/>
      <c r="J38"/>
      <c r="K38"/>
      <c r="L38"/>
    </row>
    <row r="39" spans="1:6" ht="12.75">
      <c r="A39" s="198"/>
      <c r="B39" s="198"/>
      <c r="C39" s="198"/>
      <c r="D39" s="198"/>
      <c r="E39" s="199"/>
      <c r="F39" s="199"/>
    </row>
    <row r="40" spans="1:6" ht="12.75">
      <c r="A40" s="198"/>
      <c r="B40" s="198"/>
      <c r="C40" s="198"/>
      <c r="D40" s="198"/>
      <c r="E40" s="199"/>
      <c r="F40" s="199"/>
    </row>
    <row r="41" spans="1:6" ht="12.75">
      <c r="A41" s="198"/>
      <c r="B41" s="198"/>
      <c r="C41" s="198"/>
      <c r="D41" s="198"/>
      <c r="E41" s="199"/>
      <c r="F41" s="199"/>
    </row>
    <row r="42" spans="1:6" ht="12.75">
      <c r="A42" s="198"/>
      <c r="B42" s="198"/>
      <c r="C42" s="198"/>
      <c r="D42" s="198"/>
      <c r="E42" s="199"/>
      <c r="F42" s="199"/>
    </row>
    <row r="43" spans="1:6" ht="12.75">
      <c r="A43" s="198"/>
      <c r="B43" s="198"/>
      <c r="C43" s="198"/>
      <c r="D43" s="198"/>
      <c r="E43" s="199"/>
      <c r="F43" s="199"/>
    </row>
    <row r="44" spans="1:6" ht="12.75">
      <c r="A44" s="198"/>
      <c r="B44" s="198"/>
      <c r="C44" s="198"/>
      <c r="D44" s="198"/>
      <c r="E44" s="199"/>
      <c r="F44" s="199"/>
    </row>
    <row r="45" spans="1:6" ht="12.75">
      <c r="A45" s="198"/>
      <c r="B45" s="198"/>
      <c r="C45" s="198"/>
      <c r="D45" s="198"/>
      <c r="E45" s="199"/>
      <c r="F45" s="199"/>
    </row>
    <row r="46" spans="2:6" ht="12.75">
      <c r="B46" s="198"/>
      <c r="E46" s="200"/>
      <c r="F46" s="199"/>
    </row>
  </sheetData>
  <sheetProtection/>
  <mergeCells count="4">
    <mergeCell ref="J1:L2"/>
    <mergeCell ref="G32:H32"/>
    <mergeCell ref="G33:H33"/>
    <mergeCell ref="G34:H34"/>
  </mergeCells>
  <conditionalFormatting sqref="E24">
    <cfRule type="cellIs" priority="2" dxfId="4" operator="notBetween" stopIfTrue="1">
      <formula>-499</formula>
      <formula>499</formula>
    </cfRule>
  </conditionalFormatting>
  <conditionalFormatting sqref="E20">
    <cfRule type="cellIs" priority="1" dxfId="4" operator="notBetween" stopIfTrue="1">
      <formula>-499</formula>
      <formula>499</formula>
    </cfRule>
  </conditionalFormatting>
  <printOptions horizontalCentered="1"/>
  <pageMargins left="0.7480314960629921" right="0.7480314960629921" top="0.5905511811023623" bottom="0.3937007874015748" header="0.5118110236220472" footer="0.1968503937007874"/>
  <pageSetup fitToHeight="1" fitToWidth="1" horizontalDpi="300" verticalDpi="300" orientation="landscape" paperSize="9" r:id="rId1"/>
  <headerFooter alignWithMargins="0">
    <oddFooter>&amp;LK &amp;&amp; 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Kasnyik &amp; Társa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Kasnyik Tamás</dc:creator>
  <cp:keywords/>
  <dc:description/>
  <cp:lastModifiedBy>Janos</cp:lastModifiedBy>
  <cp:lastPrinted>2010-02-09T07:22:35Z</cp:lastPrinted>
  <dcterms:created xsi:type="dcterms:W3CDTF">1999-07-14T07:21:26Z</dcterms:created>
  <dcterms:modified xsi:type="dcterms:W3CDTF">2010-02-24T17:10:43Z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